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0" windowWidth="15480" windowHeight="7470"/>
  </bookViews>
  <sheets>
    <sheet name="Смета" sheetId="1" r:id="rId1"/>
    <sheet name="Лист1" sheetId="7" r:id="rId2"/>
  </sheets>
  <definedNames>
    <definedName name="_xlnm._FilterDatabase" localSheetId="0" hidden="1">Смета!$A$1:$U$79</definedName>
    <definedName name="OLE_LINK3" localSheetId="0">Смета!$K$74</definedName>
    <definedName name="_xlnm.Print_Area" localSheetId="0">Смета!$A$1:$U$84</definedName>
  </definedNames>
  <calcPr calcId="125725"/>
</workbook>
</file>

<file path=xl/calcChain.xml><?xml version="1.0" encoding="utf-8"?>
<calcChain xmlns="http://schemas.openxmlformats.org/spreadsheetml/2006/main">
  <c r="E79" i="1"/>
  <c r="T19"/>
  <c r="O8" l="1"/>
  <c r="O5"/>
  <c r="P46" l="1"/>
  <c r="I7"/>
  <c r="R5"/>
  <c r="R7"/>
  <c r="Q5"/>
  <c r="P5"/>
  <c r="N5"/>
  <c r="M5"/>
  <c r="L5"/>
  <c r="L7"/>
  <c r="K5"/>
  <c r="J5"/>
  <c r="J7"/>
  <c r="I5" l="1"/>
  <c r="H5"/>
  <c r="G5"/>
  <c r="F7"/>
  <c r="F5"/>
  <c r="R10" l="1"/>
  <c r="O45"/>
  <c r="M45"/>
  <c r="J46"/>
  <c r="S7"/>
  <c r="R45" l="1"/>
  <c r="G50"/>
  <c r="R8"/>
  <c r="R24"/>
  <c r="R50"/>
  <c r="R46"/>
  <c r="R6" l="1"/>
  <c r="R13"/>
  <c r="R42"/>
  <c r="R30"/>
  <c r="I25" l="1"/>
  <c r="Q8" l="1"/>
  <c r="Q30"/>
  <c r="Q17"/>
  <c r="Q11"/>
  <c r="Q45"/>
  <c r="Q46"/>
  <c r="Q50"/>
  <c r="Q68"/>
  <c r="Q72"/>
  <c r="Q7"/>
  <c r="Q39"/>
  <c r="P45" l="1"/>
  <c r="P24"/>
  <c r="P11"/>
  <c r="P8" l="1"/>
  <c r="P18"/>
  <c r="P7"/>
  <c r="P72"/>
  <c r="P10"/>
  <c r="O17" l="1"/>
  <c r="O11" l="1"/>
  <c r="O24"/>
  <c r="O50"/>
  <c r="O25"/>
  <c r="O46"/>
  <c r="O7"/>
  <c r="O53"/>
  <c r="O54"/>
  <c r="O30"/>
  <c r="N8" l="1"/>
  <c r="N11"/>
  <c r="N50"/>
  <c r="N29"/>
  <c r="N24"/>
  <c r="N45"/>
  <c r="N46"/>
  <c r="N7"/>
  <c r="N74"/>
  <c r="N68"/>
  <c r="N10"/>
  <c r="M8"/>
  <c r="M50" l="1"/>
  <c r="M46"/>
  <c r="M11"/>
  <c r="M15" l="1"/>
  <c r="M42" l="1"/>
  <c r="M7"/>
  <c r="L8"/>
  <c r="L46" l="1"/>
  <c r="L45"/>
  <c r="L25"/>
  <c r="L11"/>
  <c r="L51"/>
  <c r="L50"/>
  <c r="L53"/>
  <c r="L30" l="1"/>
  <c r="L10"/>
  <c r="K25" l="1"/>
  <c r="K45"/>
  <c r="K11"/>
  <c r="K8" l="1"/>
  <c r="K50" l="1"/>
  <c r="K46"/>
  <c r="K72"/>
  <c r="K7"/>
  <c r="K24" l="1"/>
  <c r="K17"/>
  <c r="K10"/>
  <c r="K13"/>
  <c r="J8" l="1"/>
  <c r="J11" l="1"/>
  <c r="J63"/>
  <c r="J26"/>
  <c r="J42"/>
  <c r="J45"/>
  <c r="J31"/>
  <c r="J77"/>
  <c r="J30"/>
  <c r="J10"/>
  <c r="J13"/>
  <c r="I17" l="1"/>
  <c r="I11"/>
  <c r="I30" l="1"/>
  <c r="I18"/>
  <c r="G8" l="1"/>
  <c r="I10"/>
  <c r="I74" l="1"/>
  <c r="H47" l="1"/>
  <c r="H30"/>
  <c r="H7"/>
  <c r="H61"/>
  <c r="H13"/>
  <c r="H45"/>
  <c r="H11"/>
  <c r="H50"/>
  <c r="G46"/>
  <c r="G17"/>
  <c r="G24"/>
  <c r="G18"/>
  <c r="G11"/>
  <c r="G30" l="1"/>
  <c r="F18"/>
  <c r="O52" l="1"/>
  <c r="F52" l="1"/>
  <c r="F44"/>
  <c r="F28"/>
  <c r="F23"/>
  <c r="F19"/>
  <c r="F16" s="1"/>
  <c r="F12"/>
  <c r="F10"/>
  <c r="F9" s="1"/>
  <c r="F8"/>
  <c r="T5" l="1"/>
  <c r="U5" s="1"/>
  <c r="D7" l="1"/>
  <c r="T72" l="1"/>
  <c r="U72" s="1"/>
  <c r="T73"/>
  <c r="U73" s="1"/>
  <c r="T74"/>
  <c r="U74" s="1"/>
  <c r="T75"/>
  <c r="U75" s="1"/>
  <c r="T76"/>
  <c r="U76" s="1"/>
  <c r="T71"/>
  <c r="U71" s="1"/>
  <c r="T70"/>
  <c r="U70" s="1"/>
  <c r="T66"/>
  <c r="U66" s="1"/>
  <c r="I69"/>
  <c r="J69"/>
  <c r="K69"/>
  <c r="L69"/>
  <c r="M69"/>
  <c r="N69"/>
  <c r="O69"/>
  <c r="P69"/>
  <c r="Q69"/>
  <c r="R69"/>
  <c r="S69"/>
  <c r="H69"/>
  <c r="G69"/>
  <c r="F69"/>
  <c r="D66" l="1"/>
  <c r="C66" s="1"/>
  <c r="E12"/>
  <c r="D75"/>
  <c r="C75" s="1"/>
  <c r="E69"/>
  <c r="D76"/>
  <c r="C76" s="1"/>
  <c r="D73"/>
  <c r="C73" s="1"/>
  <c r="D74"/>
  <c r="C74" s="1"/>
  <c r="D72"/>
  <c r="C72" s="1"/>
  <c r="D71"/>
  <c r="C71" s="1"/>
  <c r="D70"/>
  <c r="C70" s="1"/>
  <c r="T41" l="1"/>
  <c r="U41" s="1"/>
  <c r="T42"/>
  <c r="U42" s="1"/>
  <c r="T67"/>
  <c r="U67" s="1"/>
  <c r="D67"/>
  <c r="C67" s="1"/>
  <c r="E52"/>
  <c r="E44" l="1"/>
  <c r="E28"/>
  <c r="D42"/>
  <c r="C42" s="1"/>
  <c r="D41"/>
  <c r="C41" s="1"/>
  <c r="T69"/>
  <c r="T22"/>
  <c r="T78"/>
  <c r="U78" s="1"/>
  <c r="D29" l="1"/>
  <c r="T20" l="1"/>
  <c r="U20" s="1"/>
  <c r="T21"/>
  <c r="U21" s="1"/>
  <c r="R52"/>
  <c r="P44"/>
  <c r="O19"/>
  <c r="O16" s="1"/>
  <c r="P19"/>
  <c r="P16" s="1"/>
  <c r="N19"/>
  <c r="N16" s="1"/>
  <c r="M19"/>
  <c r="M16" s="1"/>
  <c r="M52"/>
  <c r="C7"/>
  <c r="P28"/>
  <c r="O9"/>
  <c r="T62"/>
  <c r="U62" s="1"/>
  <c r="T49"/>
  <c r="U49" s="1"/>
  <c r="L44"/>
  <c r="T18"/>
  <c r="U18" s="1"/>
  <c r="K44"/>
  <c r="I19"/>
  <c r="I9"/>
  <c r="I28"/>
  <c r="H28"/>
  <c r="G9"/>
  <c r="D77" i="7"/>
  <c r="C77" s="1"/>
  <c r="D76"/>
  <c r="C76" s="1"/>
  <c r="D75"/>
  <c r="C75" s="1"/>
  <c r="D74"/>
  <c r="C74" s="1"/>
  <c r="D73"/>
  <c r="C73" s="1"/>
  <c r="D72"/>
  <c r="C72" s="1"/>
  <c r="D71"/>
  <c r="C71" s="1"/>
  <c r="D70"/>
  <c r="C70" s="1"/>
  <c r="D69"/>
  <c r="C69" s="1"/>
  <c r="D68"/>
  <c r="C68" s="1"/>
  <c r="D67"/>
  <c r="C67" s="1"/>
  <c r="D66"/>
  <c r="C66" s="1"/>
  <c r="D65"/>
  <c r="C65" s="1"/>
  <c r="D64"/>
  <c r="C64" s="1"/>
  <c r="D63"/>
  <c r="C63" s="1"/>
  <c r="D62"/>
  <c r="C62" s="1"/>
  <c r="D61"/>
  <c r="C61" s="1"/>
  <c r="D60"/>
  <c r="C60" s="1"/>
  <c r="D59"/>
  <c r="C59" s="1"/>
  <c r="D58"/>
  <c r="C58" s="1"/>
  <c r="D57"/>
  <c r="C57" s="1"/>
  <c r="D56"/>
  <c r="C56" s="1"/>
  <c r="E55"/>
  <c r="D55" s="1"/>
  <c r="C55" s="1"/>
  <c r="D54"/>
  <c r="C54" s="1"/>
  <c r="D53"/>
  <c r="C53" s="1"/>
  <c r="D52"/>
  <c r="C52" s="1"/>
  <c r="D51"/>
  <c r="C51" s="1"/>
  <c r="D50"/>
  <c r="C50" s="1"/>
  <c r="D49"/>
  <c r="C49" s="1"/>
  <c r="D48"/>
  <c r="C48" s="1"/>
  <c r="D47"/>
  <c r="C47" s="1"/>
  <c r="E46"/>
  <c r="D46" s="1"/>
  <c r="C46" s="1"/>
  <c r="D45"/>
  <c r="C45" s="1"/>
  <c r="D44"/>
  <c r="C44" s="1"/>
  <c r="D43"/>
  <c r="C43" s="1"/>
  <c r="D42"/>
  <c r="C42" s="1"/>
  <c r="D41"/>
  <c r="C41" s="1"/>
  <c r="D40"/>
  <c r="C40" s="1"/>
  <c r="D39"/>
  <c r="D38"/>
  <c r="D37"/>
  <c r="C37" s="1"/>
  <c r="D36"/>
  <c r="C36" s="1"/>
  <c r="D35"/>
  <c r="C35" s="1"/>
  <c r="D34"/>
  <c r="C34" s="1"/>
  <c r="D33"/>
  <c r="C33" s="1"/>
  <c r="E32"/>
  <c r="D32" s="1"/>
  <c r="C32" s="1"/>
  <c r="D31"/>
  <c r="C31" s="1"/>
  <c r="D30"/>
  <c r="C30" s="1"/>
  <c r="D29"/>
  <c r="C29" s="1"/>
  <c r="D28"/>
  <c r="C28" s="1"/>
  <c r="D27"/>
  <c r="C27" s="1"/>
  <c r="E26"/>
  <c r="D26" s="1"/>
  <c r="C26" s="1"/>
  <c r="D25"/>
  <c r="D24"/>
  <c r="D23"/>
  <c r="E22"/>
  <c r="D22" s="1"/>
  <c r="C22" s="1"/>
  <c r="D21"/>
  <c r="C21" s="1"/>
  <c r="D20"/>
  <c r="C20" s="1"/>
  <c r="D18"/>
  <c r="C18" s="1"/>
  <c r="D17"/>
  <c r="D16"/>
  <c r="E15"/>
  <c r="D15" s="1"/>
  <c r="C15" s="1"/>
  <c r="D14"/>
  <c r="C14" s="1"/>
  <c r="D12"/>
  <c r="C12" s="1"/>
  <c r="D11"/>
  <c r="C11" s="1"/>
  <c r="E10"/>
  <c r="D10" s="1"/>
  <c r="C10" s="1"/>
  <c r="D9"/>
  <c r="C9" s="1"/>
  <c r="D8"/>
  <c r="C8" s="1"/>
  <c r="D7"/>
  <c r="C7" s="1"/>
  <c r="D6"/>
  <c r="C6" s="1"/>
  <c r="T77" i="1"/>
  <c r="U77" s="1"/>
  <c r="D77"/>
  <c r="C77" s="1"/>
  <c r="D6"/>
  <c r="C6" s="1"/>
  <c r="S19"/>
  <c r="S16" s="1"/>
  <c r="D14"/>
  <c r="C14" s="1"/>
  <c r="T51"/>
  <c r="U51" s="1"/>
  <c r="T29"/>
  <c r="U29" s="1"/>
  <c r="D51"/>
  <c r="C51" s="1"/>
  <c r="T34"/>
  <c r="U34" s="1"/>
  <c r="T35"/>
  <c r="U35" s="1"/>
  <c r="D35"/>
  <c r="C35" s="1"/>
  <c r="D34"/>
  <c r="C34" s="1"/>
  <c r="T24"/>
  <c r="U24" s="1"/>
  <c r="T25"/>
  <c r="U25" s="1"/>
  <c r="T26"/>
  <c r="U26" s="1"/>
  <c r="T27"/>
  <c r="U27" s="1"/>
  <c r="T31"/>
  <c r="U31" s="1"/>
  <c r="T33"/>
  <c r="U33" s="1"/>
  <c r="T36"/>
  <c r="U36" s="1"/>
  <c r="T37"/>
  <c r="U37" s="1"/>
  <c r="T38"/>
  <c r="U38" s="1"/>
  <c r="T43"/>
  <c r="U43" s="1"/>
  <c r="T47"/>
  <c r="U47" s="1"/>
  <c r="T48"/>
  <c r="U48" s="1"/>
  <c r="T55"/>
  <c r="U55" s="1"/>
  <c r="T57"/>
  <c r="U57" s="1"/>
  <c r="T58"/>
  <c r="U58" s="1"/>
  <c r="T59"/>
  <c r="U59" s="1"/>
  <c r="T60"/>
  <c r="U60" s="1"/>
  <c r="T61"/>
  <c r="U61" s="1"/>
  <c r="T63"/>
  <c r="U63" s="1"/>
  <c r="T65"/>
  <c r="U65" s="1"/>
  <c r="T15"/>
  <c r="U15" s="1"/>
  <c r="R9"/>
  <c r="R23"/>
  <c r="Q28"/>
  <c r="Q9"/>
  <c r="Q44"/>
  <c r="L19"/>
  <c r="L16" s="1"/>
  <c r="M44"/>
  <c r="L28"/>
  <c r="T40"/>
  <c r="U40" s="1"/>
  <c r="O23"/>
  <c r="P52"/>
  <c r="Q23"/>
  <c r="Q52"/>
  <c r="R28"/>
  <c r="O28"/>
  <c r="T53"/>
  <c r="U53" s="1"/>
  <c r="T64"/>
  <c r="U64" s="1"/>
  <c r="H44"/>
  <c r="J28"/>
  <c r="I44"/>
  <c r="H9"/>
  <c r="T13"/>
  <c r="U13" s="1"/>
  <c r="S44"/>
  <c r="G44"/>
  <c r="S9"/>
  <c r="J12"/>
  <c r="K12"/>
  <c r="L12"/>
  <c r="M12"/>
  <c r="N12"/>
  <c r="O12"/>
  <c r="P12"/>
  <c r="Q12"/>
  <c r="R12"/>
  <c r="S12"/>
  <c r="G12"/>
  <c r="J19"/>
  <c r="K19"/>
  <c r="Q19"/>
  <c r="Q16" s="1"/>
  <c r="R19"/>
  <c r="R16" s="1"/>
  <c r="G19"/>
  <c r="G16" s="1"/>
  <c r="J23"/>
  <c r="K23"/>
  <c r="M23"/>
  <c r="P23"/>
  <c r="S23"/>
  <c r="G23"/>
  <c r="S28"/>
  <c r="G28"/>
  <c r="D28"/>
  <c r="C28" s="1"/>
  <c r="D52"/>
  <c r="C52" s="1"/>
  <c r="S52"/>
  <c r="I52"/>
  <c r="H52"/>
  <c r="G52"/>
  <c r="I23"/>
  <c r="D50"/>
  <c r="C50" s="1"/>
  <c r="H12"/>
  <c r="D64"/>
  <c r="C64" s="1"/>
  <c r="E9"/>
  <c r="E19"/>
  <c r="D19" s="1"/>
  <c r="C19" s="1"/>
  <c r="E23"/>
  <c r="D40"/>
  <c r="C40" s="1"/>
  <c r="D69"/>
  <c r="C69" s="1"/>
  <c r="D18"/>
  <c r="C18" s="1"/>
  <c r="D49"/>
  <c r="C49" s="1"/>
  <c r="D48"/>
  <c r="C48" s="1"/>
  <c r="D65"/>
  <c r="C65" s="1"/>
  <c r="D63"/>
  <c r="C63" s="1"/>
  <c r="D39"/>
  <c r="C39" s="1"/>
  <c r="D78"/>
  <c r="C78" s="1"/>
  <c r="D68"/>
  <c r="C68" s="1"/>
  <c r="D22"/>
  <c r="C22" s="1"/>
  <c r="D21"/>
  <c r="C21" s="1"/>
  <c r="D62"/>
  <c r="C62" s="1"/>
  <c r="D61"/>
  <c r="C61" s="1"/>
  <c r="D60"/>
  <c r="C60" s="1"/>
  <c r="D59"/>
  <c r="C59" s="1"/>
  <c r="D58"/>
  <c r="C58" s="1"/>
  <c r="D57"/>
  <c r="C57" s="1"/>
  <c r="D56"/>
  <c r="C56" s="1"/>
  <c r="D55"/>
  <c r="C55" s="1"/>
  <c r="D54"/>
  <c r="C54" s="1"/>
  <c r="D53"/>
  <c r="C53" s="1"/>
  <c r="D47"/>
  <c r="C47" s="1"/>
  <c r="D45"/>
  <c r="C45" s="1"/>
  <c r="D43"/>
  <c r="C43" s="1"/>
  <c r="D38"/>
  <c r="C38" s="1"/>
  <c r="D37"/>
  <c r="C37" s="1"/>
  <c r="D36"/>
  <c r="C36" s="1"/>
  <c r="D33"/>
  <c r="C33" s="1"/>
  <c r="D32"/>
  <c r="C32" s="1"/>
  <c r="D31"/>
  <c r="C31" s="1"/>
  <c r="D30"/>
  <c r="C30" s="1"/>
  <c r="C29"/>
  <c r="D27"/>
  <c r="C27" s="1"/>
  <c r="D26"/>
  <c r="C26" s="1"/>
  <c r="D25"/>
  <c r="C25" s="1"/>
  <c r="D24"/>
  <c r="C24" s="1"/>
  <c r="D5"/>
  <c r="C5" s="1"/>
  <c r="D8"/>
  <c r="C8" s="1"/>
  <c r="D15"/>
  <c r="C15" s="1"/>
  <c r="D17"/>
  <c r="C17" s="1"/>
  <c r="D13"/>
  <c r="C13" s="1"/>
  <c r="D11"/>
  <c r="C11" s="1"/>
  <c r="D10"/>
  <c r="C10" s="1"/>
  <c r="D20"/>
  <c r="C20" s="1"/>
  <c r="D46"/>
  <c r="C46" s="1"/>
  <c r="N23"/>
  <c r="J52"/>
  <c r="L23"/>
  <c r="M9"/>
  <c r="H23"/>
  <c r="M28"/>
  <c r="R44"/>
  <c r="N28"/>
  <c r="T30"/>
  <c r="U30" s="1"/>
  <c r="K52"/>
  <c r="T45"/>
  <c r="U45" s="1"/>
  <c r="T54"/>
  <c r="U54" s="1"/>
  <c r="E13" i="7" l="1"/>
  <c r="D13" s="1"/>
  <c r="C13" s="1"/>
  <c r="G79" i="1"/>
  <c r="E19" i="7"/>
  <c r="D19" s="1"/>
  <c r="C19" s="1"/>
  <c r="D12" i="1"/>
  <c r="C12" s="1"/>
  <c r="M79"/>
  <c r="S79"/>
  <c r="Q79"/>
  <c r="R79"/>
  <c r="T23"/>
  <c r="U23" s="1"/>
  <c r="U69"/>
  <c r="T50"/>
  <c r="U50" s="1"/>
  <c r="P9"/>
  <c r="P79" s="1"/>
  <c r="N52"/>
  <c r="T46"/>
  <c r="U46" s="1"/>
  <c r="K16"/>
  <c r="T14"/>
  <c r="U14" s="1"/>
  <c r="T32"/>
  <c r="U32" s="1"/>
  <c r="U22"/>
  <c r="T17"/>
  <c r="U17" s="1"/>
  <c r="J44"/>
  <c r="N44"/>
  <c r="N9"/>
  <c r="T6"/>
  <c r="U6" s="1"/>
  <c r="O44"/>
  <c r="O79" s="1"/>
  <c r="I16"/>
  <c r="T11"/>
  <c r="U11" s="1"/>
  <c r="I12"/>
  <c r="T12" s="1"/>
  <c r="U12" s="1"/>
  <c r="E16"/>
  <c r="D16" s="1"/>
  <c r="C16" s="1"/>
  <c r="H19"/>
  <c r="H16" s="1"/>
  <c r="H79" s="1"/>
  <c r="J16"/>
  <c r="T56"/>
  <c r="U56" s="1"/>
  <c r="T8"/>
  <c r="U8" s="1"/>
  <c r="J9"/>
  <c r="T39"/>
  <c r="U39" s="1"/>
  <c r="T68"/>
  <c r="U68" s="1"/>
  <c r="K9"/>
  <c r="L9"/>
  <c r="T7"/>
  <c r="U7" s="1"/>
  <c r="D23"/>
  <c r="C23" s="1"/>
  <c r="F79"/>
  <c r="L52"/>
  <c r="T10"/>
  <c r="U10" s="1"/>
  <c r="K28"/>
  <c r="D44"/>
  <c r="C44" s="1"/>
  <c r="D9"/>
  <c r="C9" s="1"/>
  <c r="E78" i="7" l="1"/>
  <c r="D78" s="1"/>
  <c r="L79" i="1"/>
  <c r="J79"/>
  <c r="K79"/>
  <c r="N79"/>
  <c r="I79"/>
  <c r="T44"/>
  <c r="U44" s="1"/>
  <c r="T16"/>
  <c r="U16" s="1"/>
  <c r="U19"/>
  <c r="T9"/>
  <c r="U9" s="1"/>
  <c r="T28"/>
  <c r="T52"/>
  <c r="U52" s="1"/>
  <c r="D79" l="1"/>
  <c r="D84" s="1"/>
  <c r="D83" i="7"/>
  <c r="C78"/>
  <c r="T82" i="1"/>
  <c r="U28"/>
  <c r="U79" s="1"/>
  <c r="T79"/>
  <c r="U82" s="1"/>
  <c r="C79" l="1"/>
  <c r="C39" i="7"/>
  <c r="C38"/>
</calcChain>
</file>

<file path=xl/comments1.xml><?xml version="1.0" encoding="utf-8"?>
<comments xmlns="http://schemas.openxmlformats.org/spreadsheetml/2006/main">
  <authors>
    <author>User 1</author>
    <author>Максим</author>
  </authors>
  <commentList>
    <comment ref="R10" authorId="0">
      <text>
        <r>
          <rPr>
            <b/>
            <sz val="8"/>
            <color indexed="81"/>
            <rFont val="Tahoma"/>
            <family val="2"/>
            <charset val="204"/>
          </rPr>
          <t>4400 сбис</t>
        </r>
      </text>
    </comment>
    <comment ref="R13" authorId="0">
      <text>
        <r>
          <rPr>
            <b/>
            <sz val="8"/>
            <color indexed="81"/>
            <rFont val="Tahoma"/>
            <family val="2"/>
            <charset val="204"/>
          </rPr>
          <t>ноябрь-декабрь</t>
        </r>
      </text>
    </comment>
    <comment ref="L15" authorId="0">
      <text>
        <r>
          <rPr>
            <b/>
            <sz val="8"/>
            <color indexed="81"/>
            <rFont val="Tahoma"/>
            <family val="2"/>
            <charset val="204"/>
          </rPr>
          <t>обучение по охране труда</t>
        </r>
      </text>
    </comment>
    <comment ref="M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пож.минимум и по теплу
</t>
        </r>
      </text>
    </comment>
    <comment ref="P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подписка на ЭС Управление МКД </t>
        </r>
      </text>
    </comment>
    <comment ref="T21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Сколько на 2019? +14% = 28000</t>
        </r>
      </text>
    </comment>
    <comment ref="F22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МФУ в офис</t>
        </r>
      </text>
    </comment>
    <comment ref="K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тачка строительная+леска
</t>
        </r>
      </text>
    </comment>
    <comment ref="N29" authorId="0">
      <text>
        <r>
          <rPr>
            <b/>
            <sz val="8"/>
            <color indexed="81"/>
            <rFont val="Tahoma"/>
            <family val="2"/>
            <charset val="204"/>
          </rPr>
          <t>водоканал-услуга отдела сбыта</t>
        </r>
      </text>
    </comment>
    <comment ref="Q29" authorId="0">
      <text>
        <r>
          <rPr>
            <b/>
            <sz val="8"/>
            <color indexed="81"/>
            <rFont val="Tahoma"/>
            <family val="2"/>
            <charset val="204"/>
          </rPr>
          <t>антимагнитные пломбы</t>
        </r>
      </text>
    </comment>
    <comment ref="R30" authorId="0">
      <text>
        <r>
          <rPr>
            <b/>
            <sz val="8"/>
            <color indexed="81"/>
            <rFont val="Tahoma"/>
            <family val="2"/>
            <charset val="204"/>
          </rPr>
          <t>8000 ГИС ЖКХ</t>
        </r>
      </text>
    </comment>
    <comment ref="G3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насос </t>
        </r>
      </text>
    </comment>
    <comment ref="J42" authorId="1">
      <text>
        <r>
          <rPr>
            <b/>
            <sz val="9"/>
            <color indexed="81"/>
            <rFont val="Tahoma"/>
            <charset val="1"/>
          </rPr>
          <t>Максим:</t>
        </r>
        <r>
          <rPr>
            <sz val="9"/>
            <color indexed="81"/>
            <rFont val="Tahoma"/>
            <charset val="1"/>
          </rPr>
          <t xml:space="preserve">
Замена лежаков ГВС в подвалах 1-7 подъезды</t>
        </r>
      </text>
    </comment>
    <comment ref="M42" authorId="1">
      <text>
        <r>
          <rPr>
            <b/>
            <sz val="9"/>
            <color indexed="81"/>
            <rFont val="Tahoma"/>
            <charset val="1"/>
          </rPr>
          <t>Максим:</t>
        </r>
        <r>
          <rPr>
            <sz val="9"/>
            <color indexed="81"/>
            <rFont val="Tahoma"/>
            <charset val="1"/>
          </rPr>
          <t xml:space="preserve">
Замена лежаков ГВС в подвалах 8-12 подъезды</t>
        </r>
      </text>
    </comment>
    <comment ref="N42" authorId="1">
      <text>
        <r>
          <rPr>
            <b/>
            <sz val="9"/>
            <color indexed="81"/>
            <rFont val="Tahoma"/>
            <charset val="1"/>
          </rPr>
          <t>Максим:</t>
        </r>
        <r>
          <rPr>
            <sz val="9"/>
            <color indexed="81"/>
            <rFont val="Tahoma"/>
            <charset val="1"/>
          </rPr>
          <t xml:space="preserve">
Замена ввода ХВС и вибровставки в ИТП 5</t>
        </r>
      </text>
    </comment>
    <comment ref="R42" authorId="0">
      <text>
        <r>
          <rPr>
            <b/>
            <sz val="8"/>
            <color indexed="81"/>
            <rFont val="Tahoma"/>
            <family val="2"/>
            <charset val="204"/>
          </rPr>
          <t>Замена обвязки насосов ГВС на пластик в трех ИТП</t>
        </r>
      </text>
    </comment>
    <comment ref="H47" authorId="0">
      <text>
        <r>
          <rPr>
            <b/>
            <sz val="8"/>
            <color indexed="81"/>
            <rFont val="Tahoma"/>
            <family val="2"/>
            <charset val="204"/>
          </rPr>
          <t>замена входной металлической двери</t>
        </r>
      </text>
    </comment>
    <comment ref="P50" authorId="0">
      <text>
        <r>
          <rPr>
            <b/>
            <sz val="8"/>
            <color indexed="81"/>
            <rFont val="Tahoma"/>
            <family val="2"/>
            <charset val="204"/>
          </rPr>
          <t>воздухоотводчик, кран, гибкая вставка</t>
        </r>
      </text>
    </comment>
    <comment ref="Q51" authorId="0">
      <text>
        <r>
          <rPr>
            <b/>
            <sz val="8"/>
            <color indexed="81"/>
            <rFont val="Tahoma"/>
            <family val="2"/>
            <charset val="204"/>
          </rPr>
          <t>пескосоль</t>
        </r>
      </text>
    </comment>
    <comment ref="G61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Видеонаблюдение в офисе</t>
        </r>
      </text>
    </comment>
    <comment ref="I61" authorId="0">
      <text>
        <r>
          <rPr>
            <b/>
            <sz val="8"/>
            <color indexed="81"/>
            <rFont val="Tahoma"/>
            <family val="2"/>
            <charset val="204"/>
          </rPr>
          <t>монтаж системы контроля доступа</t>
        </r>
      </text>
    </comment>
    <comment ref="K6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обработка от клеща </t>
        </r>
      </text>
    </comment>
    <comment ref="O62" authorId="0">
      <text>
        <r>
          <rPr>
            <b/>
            <sz val="8"/>
            <color indexed="81"/>
            <rFont val="Tahoma"/>
            <family val="2"/>
            <charset val="204"/>
          </rPr>
          <t>дезинсекция и дератизация подвалов</t>
        </r>
      </text>
    </comment>
    <comment ref="J63" authorId="0">
      <text>
        <r>
          <rPr>
            <b/>
            <sz val="8"/>
            <color indexed="81"/>
            <rFont val="Tahoma"/>
            <family val="2"/>
            <charset val="204"/>
          </rPr>
          <t>замена сетей</t>
        </r>
      </text>
    </comment>
    <comment ref="K63" authorId="0">
      <text>
        <r>
          <rPr>
            <b/>
            <sz val="8"/>
            <color indexed="81"/>
            <rFont val="Tahoma"/>
            <family val="2"/>
            <charset val="204"/>
          </rPr>
          <t>доводчик на спорт.пл.</t>
        </r>
      </text>
    </comment>
    <comment ref="L6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знак на пленке - пожарная безопасность
</t>
        </r>
      </text>
    </comment>
    <comment ref="N68" authorId="0">
      <text>
        <r>
          <rPr>
            <b/>
            <sz val="8"/>
            <color indexed="81"/>
            <rFont val="Tahoma"/>
            <family val="2"/>
            <charset val="204"/>
          </rPr>
          <t>энергоцентр - испытания энергооборудования</t>
        </r>
      </text>
    </comment>
    <comment ref="P6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кожухи на теплообменник
</t>
        </r>
      </text>
    </comment>
    <comment ref="Q68" authorId="0">
      <text>
        <r>
          <rPr>
            <b/>
            <sz val="8"/>
            <color indexed="81"/>
            <rFont val="Tahoma"/>
            <family val="2"/>
            <charset val="204"/>
          </rPr>
          <t>знаки дорожные и трубостойки</t>
        </r>
      </text>
    </comment>
    <comment ref="G70" authorId="0">
      <text>
        <r>
          <rPr>
            <b/>
            <sz val="8"/>
            <color indexed="81"/>
            <rFont val="Tahoma"/>
            <family val="2"/>
            <charset val="204"/>
          </rPr>
          <t>1 кв 2018</t>
        </r>
      </text>
    </comment>
    <comment ref="I7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2 кв 2018
</t>
        </r>
      </text>
    </comment>
    <comment ref="L70" authorId="0">
      <text>
        <r>
          <rPr>
            <b/>
            <sz val="8"/>
            <color indexed="81"/>
            <rFont val="Tahoma"/>
            <family val="2"/>
            <charset val="204"/>
          </rPr>
          <t>3 кв</t>
        </r>
      </text>
    </comment>
    <comment ref="O70" authorId="0">
      <text>
        <r>
          <rPr>
            <b/>
            <sz val="8"/>
            <color indexed="81"/>
            <rFont val="Tahoma"/>
            <family val="2"/>
            <charset val="204"/>
          </rPr>
          <t>4 кв 2018</t>
        </r>
      </text>
    </comment>
    <comment ref="G71" authorId="0">
      <text>
        <r>
          <rPr>
            <b/>
            <sz val="8"/>
            <color indexed="81"/>
            <rFont val="Tahoma"/>
            <family val="2"/>
            <charset val="204"/>
          </rPr>
          <t>за 1 кв. 2018 по акту сверки, с учетом переплаты в 2017 году</t>
        </r>
      </text>
    </comment>
    <comment ref="J71" authorId="0">
      <text>
        <r>
          <rPr>
            <b/>
            <sz val="8"/>
            <color indexed="81"/>
            <rFont val="Tahoma"/>
            <family val="2"/>
            <charset val="204"/>
          </rPr>
          <t>2 кв 2018</t>
        </r>
      </text>
    </comment>
    <comment ref="M71" authorId="0">
      <text>
        <r>
          <rPr>
            <b/>
            <sz val="8"/>
            <color indexed="81"/>
            <rFont val="Tahoma"/>
            <family val="2"/>
            <charset val="204"/>
          </rPr>
          <t>3 кв</t>
        </r>
      </text>
    </comment>
    <comment ref="P71" authorId="0">
      <text>
        <r>
          <rPr>
            <b/>
            <sz val="8"/>
            <color indexed="81"/>
            <rFont val="Tahoma"/>
            <family val="2"/>
            <charset val="204"/>
          </rPr>
          <t>4 кв 2018</t>
        </r>
      </text>
    </comment>
    <comment ref="F72" authorId="0">
      <text>
        <r>
          <rPr>
            <b/>
            <sz val="8"/>
            <color indexed="81"/>
            <rFont val="Tahoma"/>
            <family val="2"/>
            <charset val="204"/>
          </rPr>
          <t>за декабрь</t>
        </r>
      </text>
    </comment>
    <comment ref="J72" authorId="0">
      <text>
        <r>
          <rPr>
            <b/>
            <sz val="8"/>
            <color indexed="81"/>
            <rFont val="Tahoma"/>
            <family val="2"/>
            <charset val="204"/>
          </rPr>
          <t>1 кв 2018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72" authorId="0">
      <text>
        <r>
          <rPr>
            <b/>
            <sz val="8"/>
            <color indexed="81"/>
            <rFont val="Tahoma"/>
            <family val="2"/>
            <charset val="204"/>
          </rPr>
          <t>04-05 2018</t>
        </r>
      </text>
    </comment>
    <comment ref="P7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06,07,08 2018
</t>
        </r>
      </text>
    </comment>
    <comment ref="Q72" authorId="0">
      <text>
        <r>
          <rPr>
            <b/>
            <sz val="8"/>
            <color indexed="81"/>
            <rFont val="Tahoma"/>
            <family val="2"/>
            <charset val="204"/>
          </rPr>
          <t>09,10,11</t>
        </r>
      </text>
    </comment>
    <comment ref="I73" authorId="0">
      <text>
        <r>
          <rPr>
            <b/>
            <sz val="8"/>
            <color indexed="81"/>
            <rFont val="Tahoma"/>
            <family val="2"/>
            <charset val="204"/>
          </rPr>
          <t>1 кв 2018</t>
        </r>
      </text>
    </comment>
    <comment ref="L73" authorId="0">
      <text>
        <r>
          <rPr>
            <b/>
            <sz val="8"/>
            <color indexed="81"/>
            <rFont val="Tahoma"/>
            <family val="2"/>
            <charset val="204"/>
          </rPr>
          <t>2 кв 2018</t>
        </r>
      </text>
    </comment>
    <comment ref="O7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мтс 3 кв.
</t>
        </r>
      </text>
    </comment>
    <comment ref="R7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мтс 4 кв 2018
</t>
        </r>
      </text>
    </comment>
    <comment ref="F74" authorId="0">
      <text>
        <r>
          <rPr>
            <b/>
            <sz val="8"/>
            <color indexed="81"/>
            <rFont val="Tahoma"/>
            <family val="2"/>
            <charset val="204"/>
          </rPr>
          <t>за декабрь 2017г</t>
        </r>
      </text>
    </comment>
    <comment ref="I74" authorId="0">
      <text>
        <r>
          <rPr>
            <b/>
            <sz val="8"/>
            <color indexed="81"/>
            <rFont val="Tahoma"/>
            <family val="2"/>
            <charset val="204"/>
          </rPr>
          <t>01-02 2018</t>
        </r>
      </text>
    </comment>
    <comment ref="J74" authorId="0">
      <text>
        <r>
          <rPr>
            <b/>
            <sz val="8"/>
            <color indexed="81"/>
            <rFont val="Tahoma"/>
            <family val="2"/>
            <charset val="204"/>
          </rPr>
          <t>03 2018</t>
        </r>
      </text>
    </comment>
    <comment ref="K74" authorId="0">
      <text>
        <r>
          <rPr>
            <b/>
            <sz val="8"/>
            <color indexed="81"/>
            <rFont val="Tahoma"/>
            <family val="2"/>
            <charset val="204"/>
          </rPr>
          <t>04 2018</t>
        </r>
      </text>
    </comment>
    <comment ref="L7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05 2018
</t>
        </r>
      </text>
    </comment>
    <comment ref="N7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06-07 2018
</t>
        </r>
      </text>
    </comment>
    <comment ref="P7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08-09.2018
</t>
        </r>
      </text>
    </comment>
    <comment ref="R7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10 2018
</t>
        </r>
      </text>
    </comment>
    <comment ref="S7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11, 12 2018
</t>
        </r>
      </text>
    </comment>
  </commentList>
</comments>
</file>

<file path=xl/sharedStrings.xml><?xml version="1.0" encoding="utf-8"?>
<sst xmlns="http://schemas.openxmlformats.org/spreadsheetml/2006/main" count="317" uniqueCount="211">
  <si>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</si>
  <si>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</si>
  <si>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</si>
  <si>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</si>
  <si>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</si>
  <si>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Услуги связи:</t>
  </si>
  <si>
    <t>почтовые расходы</t>
  </si>
  <si>
    <t>Транспортные расходы:</t>
  </si>
  <si>
    <t>на обслуживание аппарата ТСЖ</t>
  </si>
  <si>
    <t>командировочные</t>
  </si>
  <si>
    <t>суточные</t>
  </si>
  <si>
    <t>Обязательное обучение обслуживающего персонала, повышение квалификации</t>
  </si>
  <si>
    <t>Хозяйственные расходы:</t>
  </si>
  <si>
    <t>мастера по уборке придомовой территории (перчатки, СМС и т.д.)</t>
  </si>
  <si>
    <t>мастера по уборке лестничных клеток (перчатки, СМС и т.д.)</t>
  </si>
  <si>
    <t>озеленитель (перчатки, ГСМ, расходные материалы для бензокосилки и т.д.)</t>
  </si>
  <si>
    <t>слесарь-сантехник (перчатки, СМС)</t>
  </si>
  <si>
    <t>Техническое обслуживание, наладка сложного инженерного оборудования, гос. поверка (по договорам):</t>
  </si>
  <si>
    <t>обслуживание охранной и пожарной сигнализации</t>
  </si>
  <si>
    <t>обслуживание водонагнетателей</t>
  </si>
  <si>
    <t>обслуживание антенного оборудования и телекоммуникаций</t>
  </si>
  <si>
    <t>обслуживание систем вентиллирования</t>
  </si>
  <si>
    <t>обслуживание газового оборудования</t>
  </si>
  <si>
    <t>откачка нечистот и чистка колодцев</t>
  </si>
  <si>
    <t>погрузочно-разгрузочные работы</t>
  </si>
  <si>
    <t>закупка насаждений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</si>
  <si>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</si>
  <si>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</si>
  <si>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</si>
  <si>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</si>
  <si>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тариф на содержание общего имущества МКД за 1 кв.м общей площади в месяц:</t>
  </si>
  <si>
    <t>руб.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</si>
  <si>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</si>
  <si>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</si>
  <si>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</si>
  <si>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</si>
  <si>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</si>
  <si>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</si>
  <si>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</si>
  <si>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</si>
  <si>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</si>
  <si>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</si>
  <si>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</si>
  <si>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</si>
  <si>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</si>
  <si>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5.1</t>
  </si>
  <si>
    <t>5.2</t>
  </si>
  <si>
    <t>8.1</t>
  </si>
  <si>
    <t>8.2</t>
  </si>
  <si>
    <t>8.3</t>
  </si>
  <si>
    <t>9.1</t>
  </si>
  <si>
    <t>9.2</t>
  </si>
  <si>
    <t>9.3</t>
  </si>
  <si>
    <t>9.4</t>
  </si>
  <si>
    <t>9.5</t>
  </si>
  <si>
    <t>обслуживание ПК и програмного обеспечения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</si>
  <si>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</si>
  <si>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</si>
  <si>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</si>
  <si>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</si>
  <si>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</si>
  <si>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</si>
  <si>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</si>
  <si>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</si>
  <si>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</si>
  <si>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</si>
  <si>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</si>
  <si>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Тариф за 1 кв.м в месяц</t>
  </si>
  <si>
    <t>приобретение програмного обеспечения и оргтехники</t>
  </si>
  <si>
    <t>Канцелярские расходы, приобретение и обслуживание оргтехники:</t>
  </si>
  <si>
    <t>продление KIS 2011</t>
  </si>
  <si>
    <t>компенсация ГСМ</t>
  </si>
  <si>
    <t>содержание оргтехники (заправки картриджей, запасные части и т.д.)</t>
  </si>
  <si>
    <t>10.4</t>
  </si>
  <si>
    <t>очистка кровли от снега и мусора</t>
  </si>
  <si>
    <t>10.5</t>
  </si>
  <si>
    <t>закупка и ремонт почтовых ящиков</t>
  </si>
  <si>
    <t>благоустройство офиса (мебель, перегородки и др.)</t>
  </si>
  <si>
    <t>обслуживание домофонов и дверей подъездов</t>
  </si>
  <si>
    <t>10.6</t>
  </si>
  <si>
    <t>строительные материалы (плитка, клей, краска, гидроизоляция, теплоизоляция и т.д.)</t>
  </si>
  <si>
    <t>сварочные работы трубопроводов, фланцев для задвижек, водонагревателей</t>
  </si>
  <si>
    <t>10.7</t>
  </si>
  <si>
    <t>дезинфекция и дератизация подвальных помещений</t>
  </si>
  <si>
    <t>спец. одежда для персонала</t>
  </si>
  <si>
    <t>песок для песочниц, земля для газонов, пастосмесь противогололедная</t>
  </si>
  <si>
    <t>дорожные работы (асфальт, щебень, наем спецтехники)</t>
  </si>
  <si>
    <t>электротехнические материалы:</t>
  </si>
  <si>
    <t>канцтовары (бумага, ручки и т.д.)</t>
  </si>
  <si>
    <t xml:space="preserve">январь </t>
  </si>
  <si>
    <t>опрессовка системы отопления и ГВС</t>
  </si>
  <si>
    <t>заделка межпанельных швов, окрашивние фасада</t>
  </si>
  <si>
    <t>Расходы на проектирование котельного оборудования</t>
  </si>
  <si>
    <t>комплектующие и другое</t>
  </si>
  <si>
    <t>1С 8.2 обновления (подписка)</t>
  </si>
  <si>
    <t>ремонт кровли</t>
  </si>
  <si>
    <t>телефон, интернет, передача отчетности по ИТС</t>
  </si>
  <si>
    <t>установка и обслуживание системы дворового и офисного видеонаблюдения</t>
  </si>
  <si>
    <t>охрана общедомового имущества на дворовой территории</t>
  </si>
  <si>
    <t>обслуживание узла учета тепловой энергии и воды, поверка</t>
  </si>
  <si>
    <t>обслуживание, поверка приборов учета электроэнергии</t>
  </si>
  <si>
    <t>обслуживание, поверка манометров, термометров</t>
  </si>
  <si>
    <t>Приобретение оборудования,  материалов, запчастей и другое:</t>
  </si>
  <si>
    <t>10.8</t>
  </si>
  <si>
    <t>усиление ограждения спортивной площадки</t>
  </si>
  <si>
    <t>Услуги банка и платежных систем, нотариальные услуги, юстиция</t>
  </si>
  <si>
    <t>Фонд оплаты труда с начислениями обслуживающему персоналу</t>
  </si>
  <si>
    <t>6</t>
  </si>
  <si>
    <t>7</t>
  </si>
  <si>
    <t>8</t>
  </si>
  <si>
    <t>9</t>
  </si>
  <si>
    <t>10</t>
  </si>
  <si>
    <t>11</t>
  </si>
  <si>
    <t>12</t>
  </si>
  <si>
    <t>Остаток средств по статье "Содержание и ремонт жилья" за 2012 год</t>
  </si>
  <si>
    <t>На основании сметы расходов на 2013 г. Правление ТСЖ предлагает утвердить</t>
  </si>
  <si>
    <t>техническому содержанию и ремонту общего имущества многоквартирного дома на 2013 год</t>
  </si>
  <si>
    <t>Вознаграждение председателю правления ТСЖ</t>
  </si>
  <si>
    <t>Налоговые и иные обязательные платежи с ФОТ и вознаграждения</t>
  </si>
  <si>
    <t>Плановый доход от хозяйственной деятельности</t>
  </si>
  <si>
    <t>Налоговые и иные платежи с доходов от хозяйственной деятельности</t>
  </si>
  <si>
    <t>теплообменник пластинчатый для ГВС с проектом и обвязкой</t>
  </si>
  <si>
    <t>остекление, ремонт оконных рам</t>
  </si>
  <si>
    <t>установка ограждений клумб 270 пог.м.</t>
  </si>
  <si>
    <t>асфальтирование спортивной площадки под покрытие</t>
  </si>
  <si>
    <t>окрашивание и ремонт лавочек, детского игрового оборудования, ограждений, дверей</t>
  </si>
  <si>
    <t>установка заградительных устройств на канализационных колодцах</t>
  </si>
  <si>
    <t>Обслуживание и благоустройство мест общего пользования:</t>
  </si>
  <si>
    <t>текущий ремонт в подъездах</t>
  </si>
  <si>
    <t>устройство травмобезапасного покрытия спортивной площадки</t>
  </si>
  <si>
    <t>сантехническое оборудование (без теплообменника)</t>
  </si>
  <si>
    <t>6.1</t>
  </si>
  <si>
    <t>6.2</t>
  </si>
  <si>
    <t>6.2.1</t>
  </si>
  <si>
    <t>6.2.2</t>
  </si>
  <si>
    <t>8.3.1</t>
  </si>
  <si>
    <t>8.3.2</t>
  </si>
  <si>
    <t>8.3.3</t>
  </si>
  <si>
    <t>10.9</t>
  </si>
  <si>
    <t>10.10</t>
  </si>
  <si>
    <t>10.11</t>
  </si>
  <si>
    <t>10.12</t>
  </si>
  <si>
    <t>10.13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</si>
  <si>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</si>
  <si>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</si>
  <si>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</si>
  <si>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</si>
  <si>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</si>
  <si>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</si>
  <si>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</si>
  <si>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</si>
  <si>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</si>
  <si>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</si>
  <si>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</si>
  <si>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</si>
  <si>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</si>
  <si>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</si>
  <si>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</si>
  <si>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</si>
  <si>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</si>
  <si>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приобретение и установка новых лавок перед подъездами 12 шт.</t>
  </si>
  <si>
    <t>Тариф за     1 кв.м        в месяц</t>
  </si>
  <si>
    <t>Утверждено:                             Решением общего собрания членов ТСЖ "ПРОСТОР"                                    от 02-03 февраля 2013г.</t>
  </si>
  <si>
    <t>обслуживание узла учета тепловой энергии и воды, поверка, ремонт</t>
  </si>
  <si>
    <t>10.14</t>
  </si>
  <si>
    <t>10.15</t>
  </si>
  <si>
    <t>электромонтажные работы</t>
  </si>
  <si>
    <t>1С обновления (подписка)</t>
  </si>
  <si>
    <t>тариф на содержание и ремонт общего имущества МКД за 1 кв.м общей площади в месяц:</t>
  </si>
  <si>
    <t>14.1</t>
  </si>
  <si>
    <t>14.2</t>
  </si>
  <si>
    <t>14.3</t>
  </si>
  <si>
    <t>14.4</t>
  </si>
  <si>
    <t>"МТС" (размещение базовой станции сотовой связи)</t>
  </si>
  <si>
    <t>"Вымпелком" (размещение базовой станции сотовой связи)</t>
  </si>
  <si>
    <t>"МТС" размещение телекоммуникационного оборудования в подъездах</t>
  </si>
  <si>
    <t>"Ростелеком" размещение телекоммуникационного оборудования в подъездах</t>
  </si>
  <si>
    <t>14.5</t>
  </si>
  <si>
    <t>14.6</t>
  </si>
  <si>
    <t>Прочие (непредвиденные доходы)</t>
  </si>
  <si>
    <t>14.7</t>
  </si>
  <si>
    <t>Пени</t>
  </si>
  <si>
    <t>мастера по уборке придомовой территории, лестничных клеток (перчатки, СМС и т.д.)</t>
  </si>
  <si>
    <t>слесарь-сантехник (перчатки, СМС и т.д.)</t>
  </si>
  <si>
    <t>утепление дверей - выходов на кровлю</t>
  </si>
  <si>
    <t>установка противопожарной сигнализации в подъездах</t>
  </si>
  <si>
    <t>электротехнические материалы</t>
  </si>
  <si>
    <t>промывка теплообменников ГВС</t>
  </si>
  <si>
    <t>откачка нечистот и чистка колодцев водоотведения</t>
  </si>
  <si>
    <t>обслуживание автоматики и циркуляционных насосов ИТП</t>
  </si>
  <si>
    <t>в январе 2018г. за декабрь 2017г.</t>
  </si>
  <si>
    <t>сантехнические работы (с заменой всех лежаков ГВС в подвальных помещениях)</t>
  </si>
  <si>
    <t>техническому содержанию и ремонту общего имущества многоквартирного дома на 2018 год</t>
  </si>
  <si>
    <t>установка нового детского игрового оборудования (балансиры 4 шт.)</t>
  </si>
  <si>
    <t>продление антивирусной программы KIS</t>
  </si>
  <si>
    <t>обслуживание охранной и пожарной сигнализации в офисе</t>
  </si>
  <si>
    <t>сантехническое оборудование и материалы</t>
  </si>
  <si>
    <t>благоустройство офиса (входная дверь, домофон, мебель, перегородки и др.)</t>
  </si>
  <si>
    <t>песок для песочниц, земля для газонов, пастосмесь противогололедная, соль техническая</t>
  </si>
  <si>
    <t>заделка межпанельных швов, окрашивание фасада</t>
  </si>
  <si>
    <t>ремонт кровли, восстановление козырьков</t>
  </si>
  <si>
    <t>очистка внутридворовых проездов от снега спецтехникой</t>
  </si>
  <si>
    <t>На основании сметы расходов на 2018 г. Правление ТСЖ предлагает утвердить</t>
  </si>
  <si>
    <t>Остаток средств по статье "Содержание и ремонт жилья" за 2017 год</t>
  </si>
  <si>
    <t>обслуживание системы дворового и офисного видеонаблюдения</t>
  </si>
  <si>
    <t>дезинсекция и дератизация подвальных помещений</t>
  </si>
  <si>
    <t>усиление ограждения спортивной площадки, сети и др.</t>
  </si>
  <si>
    <t>обслуживание общедомового газового оборудования</t>
  </si>
  <si>
    <t>"ТТК" размещение телекоммуникационного оборудования в подъездах</t>
  </si>
  <si>
    <t>в январе 2019г. за декабрь 2018г.</t>
  </si>
  <si>
    <t>Сумма расходов по месяцам 2018 года, руб.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</si>
</sst>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9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name val="Arial Cyr"/>
      <charset val="204"/>
    </font>
    <font>
      <i/>
      <sz val="10"/>
      <color rgb="FFFF000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31"/>
      </patternFill>
    </fill>
  </fills>
  <borders count="9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1" fillId="2" borderId="7" xfId="0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1" fontId="3" fillId="0" borderId="14" xfId="0" applyNumberFormat="1" applyFont="1" applyBorder="1"/>
    <xf numFmtId="1" fontId="5" fillId="0" borderId="16" xfId="0" applyNumberFormat="1" applyFont="1" applyBorder="1"/>
    <xf numFmtId="1" fontId="5" fillId="0" borderId="17" xfId="0" applyNumberFormat="1" applyFont="1" applyBorder="1"/>
    <xf numFmtId="1" fontId="5" fillId="4" borderId="19" xfId="0" applyNumberFormat="1" applyFont="1" applyFill="1" applyBorder="1"/>
    <xf numFmtId="0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7" fillId="0" borderId="26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1" fontId="7" fillId="0" borderId="3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2" fontId="7" fillId="0" borderId="27" xfId="0" applyNumberFormat="1" applyFont="1" applyBorder="1" applyAlignment="1">
      <alignment horizontal="center"/>
    </xf>
    <xf numFmtId="0" fontId="7" fillId="0" borderId="32" xfId="0" applyFont="1" applyBorder="1"/>
    <xf numFmtId="1" fontId="7" fillId="0" borderId="14" xfId="0" applyNumberFormat="1" applyFont="1" applyBorder="1"/>
    <xf numFmtId="0" fontId="7" fillId="0" borderId="0" xfId="0" applyFont="1"/>
    <xf numFmtId="2" fontId="5" fillId="5" borderId="34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0" fontId="1" fillId="5" borderId="35" xfId="0" applyNumberFormat="1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" fontId="7" fillId="0" borderId="18" xfId="0" applyNumberFormat="1" applyFont="1" applyBorder="1"/>
    <xf numFmtId="0" fontId="7" fillId="0" borderId="1" xfId="0" applyFont="1" applyFill="1" applyBorder="1" applyAlignment="1">
      <alignment horizontal="left"/>
    </xf>
    <xf numFmtId="0" fontId="1" fillId="0" borderId="39" xfId="0" applyNumberFormat="1" applyFont="1" applyFill="1" applyBorder="1" applyAlignment="1"/>
    <xf numFmtId="0" fontId="7" fillId="0" borderId="33" xfId="0" applyNumberFormat="1" applyFont="1" applyFill="1" applyBorder="1" applyAlignment="1"/>
    <xf numFmtId="0" fontId="1" fillId="0" borderId="39" xfId="0" applyFont="1" applyFill="1" applyBorder="1" applyAlignment="1"/>
    <xf numFmtId="0" fontId="1" fillId="0" borderId="39" xfId="0" applyFont="1" applyFill="1" applyBorder="1" applyAlignment="1">
      <alignment vertical="center"/>
    </xf>
    <xf numFmtId="0" fontId="7" fillId="0" borderId="33" xfId="0" applyFont="1" applyFill="1" applyBorder="1" applyAlignment="1"/>
    <xf numFmtId="0" fontId="3" fillId="0" borderId="30" xfId="0" applyFont="1" applyBorder="1" applyAlignment="1">
      <alignment horizontal="left"/>
    </xf>
    <xf numFmtId="2" fontId="3" fillId="0" borderId="4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0" fontId="5" fillId="0" borderId="39" xfId="0" applyFont="1" applyFill="1" applyBorder="1"/>
    <xf numFmtId="0" fontId="1" fillId="0" borderId="45" xfId="0" applyFont="1" applyFill="1" applyBorder="1" applyAlignment="1"/>
    <xf numFmtId="0" fontId="7" fillId="0" borderId="46" xfId="0" applyFont="1" applyFill="1" applyBorder="1" applyAlignment="1"/>
    <xf numFmtId="16" fontId="5" fillId="3" borderId="47" xfId="0" applyNumberFormat="1" applyFont="1" applyFill="1" applyBorder="1" applyAlignment="1">
      <alignment horizontal="center" vertical="distributed"/>
    </xf>
    <xf numFmtId="0" fontId="5" fillId="0" borderId="8" xfId="0" applyFont="1" applyFill="1" applyBorder="1"/>
    <xf numFmtId="1" fontId="5" fillId="0" borderId="8" xfId="0" applyNumberFormat="1" applyFont="1" applyFill="1" applyBorder="1"/>
    <xf numFmtId="0" fontId="7" fillId="0" borderId="33" xfId="0" applyFont="1" applyFill="1" applyBorder="1"/>
    <xf numFmtId="0" fontId="7" fillId="0" borderId="48" xfId="0" applyFont="1" applyFill="1" applyBorder="1"/>
    <xf numFmtId="0" fontId="3" fillId="0" borderId="33" xfId="0" applyFont="1" applyFill="1" applyBorder="1" applyAlignment="1"/>
    <xf numFmtId="0" fontId="7" fillId="0" borderId="48" xfId="0" applyFont="1" applyFill="1" applyBorder="1" applyAlignment="1"/>
    <xf numFmtId="0" fontId="5" fillId="0" borderId="44" xfId="0" applyFont="1" applyFill="1" applyBorder="1"/>
    <xf numFmtId="2" fontId="7" fillId="0" borderId="0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Border="1" applyAlignment="1">
      <alignment horizontal="left"/>
    </xf>
    <xf numFmtId="2" fontId="7" fillId="0" borderId="55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/>
    </xf>
    <xf numFmtId="0" fontId="1" fillId="0" borderId="57" xfId="0" applyFont="1" applyFill="1" applyBorder="1" applyAlignment="1"/>
    <xf numFmtId="0" fontId="1" fillId="0" borderId="57" xfId="0" applyFont="1" applyFill="1" applyBorder="1" applyAlignment="1">
      <alignment vertical="center"/>
    </xf>
    <xf numFmtId="0" fontId="7" fillId="0" borderId="55" xfId="0" applyFont="1" applyFill="1" applyBorder="1" applyAlignment="1"/>
    <xf numFmtId="0" fontId="1" fillId="0" borderId="58" xfId="0" applyFont="1" applyFill="1" applyBorder="1" applyAlignment="1"/>
    <xf numFmtId="1" fontId="5" fillId="0" borderId="60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1" fontId="5" fillId="3" borderId="28" xfId="0" applyNumberFormat="1" applyFont="1" applyFill="1" applyBorder="1"/>
    <xf numFmtId="1" fontId="0" fillId="0" borderId="0" xfId="0" applyNumberFormat="1"/>
    <xf numFmtId="1" fontId="4" fillId="0" borderId="0" xfId="0" applyNumberFormat="1" applyFont="1"/>
    <xf numFmtId="2" fontId="4" fillId="0" borderId="0" xfId="0" applyNumberFormat="1" applyFont="1"/>
    <xf numFmtId="0" fontId="6" fillId="0" borderId="0" xfId="0" applyFont="1" applyBorder="1" applyAlignment="1"/>
    <xf numFmtId="0" fontId="5" fillId="0" borderId="24" xfId="0" applyFont="1" applyFill="1" applyBorder="1"/>
    <xf numFmtId="0" fontId="7" fillId="0" borderId="55" xfId="0" applyFont="1" applyFill="1" applyBorder="1"/>
    <xf numFmtId="0" fontId="7" fillId="0" borderId="61" xfId="0" applyFont="1" applyFill="1" applyBorder="1"/>
    <xf numFmtId="0" fontId="7" fillId="0" borderId="55" xfId="0" applyNumberFormat="1" applyFont="1" applyFill="1" applyBorder="1" applyAlignment="1"/>
    <xf numFmtId="0" fontId="7" fillId="0" borderId="0" xfId="0" applyFont="1" applyFill="1"/>
    <xf numFmtId="0" fontId="3" fillId="0" borderId="55" xfId="0" applyFont="1" applyFill="1" applyBorder="1" applyAlignment="1"/>
    <xf numFmtId="0" fontId="7" fillId="0" borderId="61" xfId="0" applyFont="1" applyFill="1" applyBorder="1" applyAlignment="1"/>
    <xf numFmtId="0" fontId="5" fillId="0" borderId="34" xfId="0" applyFont="1" applyFill="1" applyBorder="1"/>
    <xf numFmtId="1" fontId="5" fillId="0" borderId="13" xfId="0" applyNumberFormat="1" applyFont="1" applyBorder="1"/>
    <xf numFmtId="0" fontId="5" fillId="0" borderId="65" xfId="0" applyFont="1" applyFill="1" applyBorder="1"/>
    <xf numFmtId="1" fontId="5" fillId="7" borderId="16" xfId="0" applyNumberFormat="1" applyFont="1" applyFill="1" applyBorder="1"/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Fill="1" applyBorder="1"/>
    <xf numFmtId="0" fontId="7" fillId="0" borderId="0" xfId="0" applyFont="1" applyBorder="1" applyAlignment="1">
      <alignment horizontal="left"/>
    </xf>
    <xf numFmtId="1" fontId="7" fillId="0" borderId="66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67" xfId="0" applyNumberFormat="1" applyFont="1" applyBorder="1" applyAlignment="1">
      <alignment horizontal="center" vertical="center"/>
    </xf>
    <xf numFmtId="0" fontId="7" fillId="0" borderId="66" xfId="0" applyFont="1" applyFill="1" applyBorder="1" applyAlignment="1"/>
    <xf numFmtId="2" fontId="7" fillId="0" borderId="33" xfId="0" applyNumberFormat="1" applyFont="1" applyBorder="1" applyAlignment="1">
      <alignment horizontal="center"/>
    </xf>
    <xf numFmtId="2" fontId="7" fillId="0" borderId="68" xfId="0" applyNumberFormat="1" applyFont="1" applyBorder="1" applyAlignment="1">
      <alignment horizontal="center"/>
    </xf>
    <xf numFmtId="0" fontId="1" fillId="0" borderId="3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/>
    </xf>
    <xf numFmtId="2" fontId="1" fillId="0" borderId="24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5" fillId="0" borderId="16" xfId="0" applyNumberFormat="1" applyFont="1" applyFill="1" applyBorder="1"/>
    <xf numFmtId="1" fontId="5" fillId="4" borderId="16" xfId="0" applyNumberFormat="1" applyFont="1" applyFill="1" applyBorder="1"/>
    <xf numFmtId="1" fontId="7" fillId="0" borderId="18" xfId="0" applyNumberFormat="1" applyFont="1" applyFill="1" applyBorder="1"/>
    <xf numFmtId="1" fontId="5" fillId="0" borderId="60" xfId="0" applyNumberFormat="1" applyFont="1" applyFill="1" applyBorder="1"/>
    <xf numFmtId="1" fontId="5" fillId="0" borderId="17" xfId="0" applyNumberFormat="1" applyFont="1" applyFill="1" applyBorder="1"/>
    <xf numFmtId="1" fontId="5" fillId="0" borderId="59" xfId="0" applyNumberFormat="1" applyFont="1" applyFill="1" applyBorder="1"/>
    <xf numFmtId="2" fontId="7" fillId="0" borderId="40" xfId="0" applyNumberFormat="1" applyFont="1" applyBorder="1" applyAlignment="1">
      <alignment horizontal="center"/>
    </xf>
    <xf numFmtId="0" fontId="7" fillId="0" borderId="52" xfId="0" applyFont="1" applyBorder="1" applyAlignment="1">
      <alignment horizontal="left"/>
    </xf>
    <xf numFmtId="2" fontId="7" fillId="0" borderId="72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49" fontId="7" fillId="0" borderId="73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2" fontId="5" fillId="0" borderId="39" xfId="0" applyNumberFormat="1" applyFont="1" applyBorder="1" applyAlignment="1">
      <alignment horizontal="center"/>
    </xf>
    <xf numFmtId="0" fontId="7" fillId="0" borderId="0" xfId="0" applyFont="1" applyBorder="1"/>
    <xf numFmtId="0" fontId="0" fillId="0" borderId="24" xfId="0" applyBorder="1"/>
    <xf numFmtId="1" fontId="7" fillId="7" borderId="14" xfId="0" applyNumberFormat="1" applyFont="1" applyFill="1" applyBorder="1"/>
    <xf numFmtId="0" fontId="1" fillId="0" borderId="2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1" fontId="5" fillId="0" borderId="77" xfId="0" applyNumberFormat="1" applyFont="1" applyFill="1" applyBorder="1" applyAlignment="1">
      <alignment horizontal="center"/>
    </xf>
    <xf numFmtId="1" fontId="5" fillId="0" borderId="77" xfId="0" applyNumberFormat="1" applyFont="1" applyBorder="1" applyAlignment="1">
      <alignment horizontal="center"/>
    </xf>
    <xf numFmtId="1" fontId="5" fillId="0" borderId="82" xfId="0" applyNumberFormat="1" applyFont="1" applyBorder="1" applyAlignment="1">
      <alignment horizontal="center"/>
    </xf>
    <xf numFmtId="1" fontId="7" fillId="0" borderId="83" xfId="0" applyNumberFormat="1" applyFont="1" applyBorder="1" applyAlignment="1">
      <alignment horizontal="center"/>
    </xf>
    <xf numFmtId="1" fontId="7" fillId="0" borderId="84" xfId="0" applyNumberFormat="1" applyFont="1" applyBorder="1" applyAlignment="1">
      <alignment horizontal="center"/>
    </xf>
    <xf numFmtId="1" fontId="3" fillId="0" borderId="83" xfId="0" applyNumberFormat="1" applyFont="1" applyBorder="1" applyAlignment="1">
      <alignment horizontal="center"/>
    </xf>
    <xf numFmtId="1" fontId="3" fillId="0" borderId="85" xfId="0" applyNumberFormat="1" applyFont="1" applyBorder="1" applyAlignment="1">
      <alignment horizontal="center"/>
    </xf>
    <xf numFmtId="1" fontId="5" fillId="0" borderId="82" xfId="0" applyNumberFormat="1" applyFont="1" applyBorder="1" applyAlignment="1">
      <alignment horizontal="center" vertical="center"/>
    </xf>
    <xf numFmtId="1" fontId="7" fillId="0" borderId="79" xfId="0" applyNumberFormat="1" applyFont="1" applyBorder="1" applyAlignment="1">
      <alignment horizontal="center"/>
    </xf>
    <xf numFmtId="1" fontId="7" fillId="0" borderId="85" xfId="0" applyNumberFormat="1" applyFont="1" applyBorder="1" applyAlignment="1">
      <alignment horizontal="center"/>
    </xf>
    <xf numFmtId="1" fontId="5" fillId="0" borderId="78" xfId="0" applyNumberFormat="1" applyFont="1" applyBorder="1" applyAlignment="1">
      <alignment horizontal="center"/>
    </xf>
    <xf numFmtId="1" fontId="7" fillId="0" borderId="80" xfId="0" applyNumberFormat="1" applyFont="1" applyBorder="1" applyAlignment="1">
      <alignment horizontal="center"/>
    </xf>
    <xf numFmtId="1" fontId="7" fillId="0" borderId="86" xfId="0" applyNumberFormat="1" applyFont="1" applyBorder="1" applyAlignment="1">
      <alignment horizontal="center"/>
    </xf>
    <xf numFmtId="1" fontId="7" fillId="7" borderId="59" xfId="0" applyNumberFormat="1" applyFont="1" applyFill="1" applyBorder="1"/>
    <xf numFmtId="1" fontId="5" fillId="7" borderId="17" xfId="0" applyNumberFormat="1" applyFont="1" applyFill="1" applyBorder="1"/>
    <xf numFmtId="0" fontId="7" fillId="0" borderId="87" xfId="0" applyFont="1" applyFill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1" fillId="0" borderId="78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76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/>
    </xf>
    <xf numFmtId="1" fontId="7" fillId="0" borderId="75" xfId="0" applyNumberFormat="1" applyFont="1" applyBorder="1" applyAlignment="1">
      <alignment horizontal="center"/>
    </xf>
    <xf numFmtId="0" fontId="7" fillId="7" borderId="33" xfId="0" applyFont="1" applyFill="1" applyBorder="1"/>
    <xf numFmtId="0" fontId="7" fillId="7" borderId="66" xfId="0" applyFont="1" applyFill="1" applyBorder="1"/>
    <xf numFmtId="0" fontId="10" fillId="0" borderId="29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/>
    </xf>
    <xf numFmtId="0" fontId="5" fillId="7" borderId="93" xfId="0" applyFont="1" applyFill="1" applyBorder="1"/>
    <xf numFmtId="0" fontId="11" fillId="0" borderId="0" xfId="0" applyFont="1"/>
    <xf numFmtId="1" fontId="5" fillId="0" borderId="13" xfId="0" applyNumberFormat="1" applyFont="1" applyFill="1" applyBorder="1"/>
    <xf numFmtId="0" fontId="10" fillId="0" borderId="56" xfId="0" applyFont="1" applyBorder="1" applyAlignment="1">
      <alignment horizontal="left"/>
    </xf>
    <xf numFmtId="0" fontId="7" fillId="7" borderId="33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4" borderId="16" xfId="0" applyFont="1" applyFill="1" applyBorder="1" applyAlignment="1">
      <alignment horizontal="center" wrapText="1"/>
    </xf>
    <xf numFmtId="0" fontId="5" fillId="0" borderId="47" xfId="0" applyFont="1" applyFill="1" applyBorder="1"/>
    <xf numFmtId="164" fontId="7" fillId="0" borderId="33" xfId="0" applyNumberFormat="1" applyFont="1" applyFill="1" applyBorder="1" applyAlignment="1"/>
    <xf numFmtId="0" fontId="1" fillId="7" borderId="67" xfId="0" applyNumberFormat="1" applyFont="1" applyFill="1" applyBorder="1" applyAlignment="1">
      <alignment horizontal="center" vertical="center"/>
    </xf>
    <xf numFmtId="0" fontId="5" fillId="7" borderId="90" xfId="0" applyFont="1" applyFill="1" applyBorder="1" applyAlignment="1">
      <alignment horizontal="left"/>
    </xf>
    <xf numFmtId="2" fontId="1" fillId="7" borderId="58" xfId="0" applyNumberFormat="1" applyFont="1" applyFill="1" applyBorder="1" applyAlignment="1">
      <alignment horizontal="center"/>
    </xf>
    <xf numFmtId="1" fontId="5" fillId="7" borderId="91" xfId="0" applyNumberFormat="1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5" fillId="7" borderId="92" xfId="0" applyFont="1" applyFill="1" applyBorder="1"/>
    <xf numFmtId="0" fontId="5" fillId="7" borderId="45" xfId="0" applyFont="1" applyFill="1" applyBorder="1"/>
    <xf numFmtId="0" fontId="5" fillId="7" borderId="39" xfId="0" applyFont="1" applyFill="1" applyBorder="1"/>
    <xf numFmtId="49" fontId="7" fillId="7" borderId="88" xfId="0" applyNumberFormat="1" applyFont="1" applyFill="1" applyBorder="1" applyAlignment="1">
      <alignment horizontal="center" vertical="center"/>
    </xf>
    <xf numFmtId="0" fontId="7" fillId="7" borderId="89" xfId="0" applyFont="1" applyFill="1" applyBorder="1" applyAlignment="1">
      <alignment horizontal="left"/>
    </xf>
    <xf numFmtId="2" fontId="7" fillId="7" borderId="89" xfId="0" applyNumberFormat="1" applyFont="1" applyFill="1" applyBorder="1" applyAlignment="1">
      <alignment horizontal="center"/>
    </xf>
    <xf numFmtId="1" fontId="7" fillId="7" borderId="81" xfId="0" applyNumberFormat="1" applyFont="1" applyFill="1" applyBorder="1" applyAlignment="1">
      <alignment horizontal="center"/>
    </xf>
    <xf numFmtId="0" fontId="7" fillId="7" borderId="59" xfId="0" applyFont="1" applyFill="1" applyBorder="1" applyAlignment="1">
      <alignment horizontal="center"/>
    </xf>
    <xf numFmtId="0" fontId="7" fillId="7" borderId="69" xfId="0" applyFont="1" applyFill="1" applyBorder="1"/>
    <xf numFmtId="0" fontId="7" fillId="7" borderId="70" xfId="0" applyFont="1" applyFill="1" applyBorder="1"/>
    <xf numFmtId="0" fontId="7" fillId="7" borderId="0" xfId="0" applyFont="1" applyFill="1" applyBorder="1"/>
    <xf numFmtId="49" fontId="7" fillId="7" borderId="62" xfId="0" applyNumberFormat="1" applyFont="1" applyFill="1" applyBorder="1" applyAlignment="1">
      <alignment horizontal="center" vertical="center"/>
    </xf>
    <xf numFmtId="2" fontId="7" fillId="7" borderId="33" xfId="0" applyNumberFormat="1" applyFont="1" applyFill="1" applyBorder="1" applyAlignment="1">
      <alignment horizontal="center"/>
    </xf>
    <xf numFmtId="1" fontId="7" fillId="7" borderId="74" xfId="0" applyNumberFormat="1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46" xfId="0" applyFont="1" applyFill="1" applyBorder="1"/>
    <xf numFmtId="49" fontId="7" fillId="7" borderId="76" xfId="0" applyNumberFormat="1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left"/>
    </xf>
    <xf numFmtId="2" fontId="7" fillId="7" borderId="49" xfId="0" applyNumberFormat="1" applyFont="1" applyFill="1" applyBorder="1" applyAlignment="1">
      <alignment horizontal="center"/>
    </xf>
    <xf numFmtId="1" fontId="7" fillId="7" borderId="75" xfId="0" applyNumberFormat="1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1" fillId="7" borderId="20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left"/>
    </xf>
    <xf numFmtId="2" fontId="5" fillId="7" borderId="24" xfId="0" applyNumberFormat="1" applyFont="1" applyFill="1" applyBorder="1" applyAlignment="1">
      <alignment horizontal="center"/>
    </xf>
    <xf numFmtId="1" fontId="5" fillId="7" borderId="77" xfId="0" applyNumberFormat="1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5" fillId="7" borderId="47" xfId="0" applyFont="1" applyFill="1" applyBorder="1"/>
    <xf numFmtId="0" fontId="5" fillId="7" borderId="44" xfId="0" applyFont="1" applyFill="1" applyBorder="1"/>
    <xf numFmtId="0" fontId="5" fillId="7" borderId="8" xfId="0" applyFont="1" applyFill="1" applyBorder="1"/>
    <xf numFmtId="0" fontId="5" fillId="7" borderId="65" xfId="0" applyFont="1" applyFill="1" applyBorder="1"/>
    <xf numFmtId="0" fontId="10" fillId="0" borderId="1" xfId="0" applyFont="1" applyBorder="1" applyAlignment="1">
      <alignment horizontal="left"/>
    </xf>
    <xf numFmtId="0" fontId="7" fillId="0" borderId="94" xfId="0" applyFont="1" applyFill="1" applyBorder="1" applyAlignment="1"/>
    <xf numFmtId="0" fontId="5" fillId="0" borderId="64" xfId="0" applyFont="1" applyFill="1" applyBorder="1"/>
    <xf numFmtId="0" fontId="10" fillId="0" borderId="8" xfId="0" applyFont="1" applyFill="1" applyBorder="1" applyAlignment="1"/>
    <xf numFmtId="1" fontId="7" fillId="0" borderId="83" xfId="0" applyNumberFormat="1" applyFont="1" applyFill="1" applyBorder="1" applyAlignment="1">
      <alignment horizontal="center"/>
    </xf>
    <xf numFmtId="1" fontId="3" fillId="0" borderId="14" xfId="0" applyNumberFormat="1" applyFont="1" applyFill="1" applyBorder="1"/>
    <xf numFmtId="16" fontId="5" fillId="3" borderId="95" xfId="0" applyNumberFormat="1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16" fontId="5" fillId="3" borderId="63" xfId="0" applyNumberFormat="1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0" fontId="5" fillId="0" borderId="97" xfId="0" applyFont="1" applyFill="1" applyBorder="1"/>
    <xf numFmtId="0" fontId="5" fillId="0" borderId="28" xfId="0" applyFont="1" applyFill="1" applyBorder="1"/>
    <xf numFmtId="0" fontId="1" fillId="8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3" borderId="6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6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0" fillId="0" borderId="0" xfId="0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21" sqref="F21"/>
    </sheetView>
  </sheetViews>
  <sheetFormatPr defaultRowHeight="12.75" outlineLevelRow="2"/>
  <cols>
    <col min="1" max="1" width="6.7109375" bestFit="1" customWidth="1"/>
    <col min="2" max="2" width="78.28515625" customWidth="1"/>
    <col min="3" max="3" width="9" customWidth="1"/>
    <col min="4" max="4" width="8.7109375" customWidth="1"/>
    <col min="5" max="5" width="8.140625" customWidth="1"/>
    <col min="6" max="6" width="9.5703125" customWidth="1"/>
    <col min="7" max="7" width="10.5703125" customWidth="1"/>
    <col min="8" max="8" width="10.42578125" customWidth="1"/>
    <col min="9" max="9" width="10.28515625" customWidth="1"/>
    <col min="10" max="10" width="9.28515625" customWidth="1"/>
    <col min="11" max="11" width="9.140625" customWidth="1"/>
    <col min="12" max="17" width="8.85546875" customWidth="1"/>
    <col min="18" max="18" width="8.42578125" customWidth="1"/>
    <col min="19" max="19" width="9.7109375" customWidth="1"/>
  </cols>
  <sheetData>
    <row r="1" spans="1:21">
      <c r="A1" s="251" t="s">
        <v>0</v>
      </c>
      <c r="B1" s="251"/>
      <c r="C1" s="251"/>
      <c r="D1" s="251"/>
      <c r="E1" s="251"/>
    </row>
    <row r="2" spans="1:21" ht="13.5" thickBot="1">
      <c r="A2" s="251" t="s">
        <v>192</v>
      </c>
      <c r="B2" s="251"/>
      <c r="C2" s="251"/>
      <c r="D2" s="251"/>
      <c r="E2" s="251"/>
    </row>
    <row r="3" spans="1:21" ht="13.5" customHeight="1" thickBot="1">
      <c r="A3" s="252"/>
      <c r="B3" s="252"/>
      <c r="C3" s="252"/>
      <c r="D3" s="252"/>
      <c r="E3" s="252"/>
      <c r="F3" s="248" t="s">
        <v>210</v>
      </c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50"/>
      <c r="S3" s="194"/>
      <c r="T3" s="195"/>
      <c r="U3" s="195"/>
    </row>
    <row r="4" spans="1:21" ht="52.15" customHeight="1" thickBot="1">
      <c r="A4" s="9" t="s">
        <v>1</v>
      </c>
      <c r="B4" s="10" t="s">
        <v>2</v>
      </c>
      <c r="C4" s="13" t="s">
        <v>67</v>
      </c>
      <c r="D4" s="13" t="s">
        <v>3</v>
      </c>
      <c r="E4" s="18" t="s">
        <v>4</v>
      </c>
      <c r="F4" s="84" t="s">
        <v>190</v>
      </c>
      <c r="G4" s="240" t="s">
        <v>89</v>
      </c>
      <c r="H4" s="241" t="s">
        <v>32</v>
      </c>
      <c r="I4" s="242" t="s">
        <v>33</v>
      </c>
      <c r="J4" s="241" t="s">
        <v>34</v>
      </c>
      <c r="K4" s="242" t="s">
        <v>35</v>
      </c>
      <c r="L4" s="241" t="s">
        <v>36</v>
      </c>
      <c r="M4" s="242" t="s">
        <v>37</v>
      </c>
      <c r="N4" s="241" t="s">
        <v>38</v>
      </c>
      <c r="O4" s="242" t="s">
        <v>39</v>
      </c>
      <c r="P4" s="241" t="s">
        <v>40</v>
      </c>
      <c r="Q4" s="242" t="s">
        <v>41</v>
      </c>
      <c r="R4" s="243" t="s">
        <v>42</v>
      </c>
      <c r="S4" s="84" t="s">
        <v>209</v>
      </c>
      <c r="T4" s="196" t="s">
        <v>43</v>
      </c>
      <c r="U4" s="196" t="s">
        <v>44</v>
      </c>
    </row>
    <row r="5" spans="1:21" ht="13.5" thickBot="1">
      <c r="A5" s="23">
        <v>1</v>
      </c>
      <c r="B5" s="6" t="s">
        <v>106</v>
      </c>
      <c r="C5" s="33">
        <f>D5/D81</f>
        <v>5.6615250291036086</v>
      </c>
      <c r="D5" s="158">
        <f t="shared" ref="D5:D42" si="0">E5/12</f>
        <v>141034.25</v>
      </c>
      <c r="E5" s="60">
        <v>1692411</v>
      </c>
      <c r="F5" s="118">
        <f>175+175+4568</f>
        <v>4918</v>
      </c>
      <c r="G5" s="245">
        <f>32372+28927.65+3009</f>
        <v>64308.65</v>
      </c>
      <c r="H5" s="245">
        <f>201.25+201.25+4567+36940+42845.35+14273.5+4568+8447+3000+1400</f>
        <v>116443.35</v>
      </c>
      <c r="I5" s="245">
        <f>298.75+298.75+4829+59074.47+52091+2080+18929.5+9165</f>
        <v>146766.47</v>
      </c>
      <c r="J5" s="245">
        <f>250+250+47173+4698+50647+8372.88+9165+23657+1740</f>
        <v>145952.88</v>
      </c>
      <c r="K5" s="245">
        <f>250+250+4698+47260+46810+20842+4765+9165+1740</f>
        <v>135780</v>
      </c>
      <c r="L5" s="245">
        <f>250+250+6409.58+51523+4036.72+7896.48+44516+4481+10680.88+23505.58+9165+1740</f>
        <v>164454.24</v>
      </c>
      <c r="M5" s="245">
        <f>250+250+3053.5+44896+46357+22096.5+9165+4480+1740</f>
        <v>132288</v>
      </c>
      <c r="N5" s="245">
        <f>250+250+4698+53489.36+44726+20452+14958.4+9903.38+8573.56+6110+1740</f>
        <v>165150.70000000001</v>
      </c>
      <c r="O5" s="245">
        <f>250+250+4698+41322.87+47672+4663+24281.35+6652.08+9165+1740</f>
        <v>140694.29999999999</v>
      </c>
      <c r="P5" s="245">
        <f>250+250+4698+43892+46763+20452+7507.98+9165+12836.37+1740</f>
        <v>147554.34999999998</v>
      </c>
      <c r="Q5" s="245">
        <f>250+250+4187.08+4698+44930.96+47974+8559.64+10368.64+15538.42+7500+1000+1740</f>
        <v>146996.74000000002</v>
      </c>
      <c r="R5" s="245">
        <f>250+250+4698+46791.95+36324+250+250+4698+41921.52+18507+5174.86+9165+4480+19958+4481-4000+1740</f>
        <v>194939.33</v>
      </c>
      <c r="S5" s="118"/>
      <c r="T5" s="119">
        <f>SUM(G5:S5)</f>
        <v>1701329.01</v>
      </c>
      <c r="U5" s="190">
        <f>E5-T5</f>
        <v>-8918.0100000000093</v>
      </c>
    </row>
    <row r="6" spans="1:21" ht="13.5" thickBot="1">
      <c r="A6" s="23">
        <v>2</v>
      </c>
      <c r="B6" s="6" t="s">
        <v>117</v>
      </c>
      <c r="C6" s="33">
        <f>D6/D81</f>
        <v>0.8381839348079162</v>
      </c>
      <c r="D6" s="158">
        <f t="shared" si="0"/>
        <v>20880</v>
      </c>
      <c r="E6" s="60">
        <v>250560</v>
      </c>
      <c r="F6" s="197"/>
      <c r="G6" s="244"/>
      <c r="H6" s="245">
        <v>19990</v>
      </c>
      <c r="I6" s="245">
        <v>21315</v>
      </c>
      <c r="J6" s="245">
        <v>20080</v>
      </c>
      <c r="K6" s="245">
        <v>21680</v>
      </c>
      <c r="L6" s="245">
        <v>20880</v>
      </c>
      <c r="M6" s="245">
        <v>20880</v>
      </c>
      <c r="N6" s="245">
        <v>20880</v>
      </c>
      <c r="O6" s="245">
        <v>20880</v>
      </c>
      <c r="P6" s="245">
        <v>20880</v>
      </c>
      <c r="Q6" s="245">
        <v>20880</v>
      </c>
      <c r="R6" s="245">
        <f>20880+20880</f>
        <v>41760</v>
      </c>
      <c r="S6" s="120"/>
      <c r="T6" s="119">
        <f>SUM(G6:S6)</f>
        <v>250105</v>
      </c>
      <c r="U6" s="190">
        <f>E6-T6</f>
        <v>455</v>
      </c>
    </row>
    <row r="7" spans="1:21" ht="13.5" thickBot="1">
      <c r="A7" s="23">
        <v>3</v>
      </c>
      <c r="B7" s="6" t="s">
        <v>118</v>
      </c>
      <c r="C7" s="33">
        <f>D7/D81</f>
        <v>2.4803500461643453</v>
      </c>
      <c r="D7" s="158">
        <f>E7/12</f>
        <v>61788</v>
      </c>
      <c r="E7" s="60">
        <v>741456</v>
      </c>
      <c r="F7" s="111">
        <f>250+17818+24997+213.81</f>
        <v>43278.81</v>
      </c>
      <c r="G7" s="86"/>
      <c r="H7" s="86">
        <f>307.32+21474+30732+1.37+25.7+4731.88</f>
        <v>57272.27</v>
      </c>
      <c r="I7" s="86">
        <f>307.28+25476+35628-3532</f>
        <v>57879.28</v>
      </c>
      <c r="J7" s="86">
        <f>315.95+1660+22071+41095+1888-260</f>
        <v>66769.95</v>
      </c>
      <c r="K7" s="85">
        <f>325.25+20631+37324.78+1424</f>
        <v>59705.03</v>
      </c>
      <c r="L7" s="86">
        <f>328.89+21722+37688.83+182+124+544</f>
        <v>60589.72</v>
      </c>
      <c r="M7" s="86">
        <f>339.25+17627+38724.91</f>
        <v>56691.16</v>
      </c>
      <c r="N7" s="86">
        <f>316.95+21823+36494.55+4159</f>
        <v>62793.5</v>
      </c>
      <c r="O7" s="86">
        <f>359.11+20405+40710.7+785+975</f>
        <v>63234.81</v>
      </c>
      <c r="P7" s="86">
        <f>318.26+20149+36626.18+353</f>
        <v>57446.44</v>
      </c>
      <c r="Q7" s="85">
        <f>625+21728+324.16+37216.48+1279</f>
        <v>61172.639999999999</v>
      </c>
      <c r="R7" s="85">
        <f>345.5+22139+39349.84+355+20762</f>
        <v>82951.34</v>
      </c>
      <c r="S7" s="111">
        <f>34087.88+292.88</f>
        <v>34380.759999999995</v>
      </c>
      <c r="T7" s="20">
        <f>SUM(G7:S7)</f>
        <v>720886.9</v>
      </c>
      <c r="U7" s="136">
        <f>E7-T7</f>
        <v>20569.099999999977</v>
      </c>
    </row>
    <row r="8" spans="1:21" ht="13.5" thickBot="1">
      <c r="A8" s="23">
        <v>4</v>
      </c>
      <c r="B8" s="6" t="s">
        <v>105</v>
      </c>
      <c r="C8" s="33">
        <f>D8/D81</f>
        <v>0.30107181566376301</v>
      </c>
      <c r="D8" s="158">
        <f t="shared" si="0"/>
        <v>7500</v>
      </c>
      <c r="E8" s="60">
        <v>90000</v>
      </c>
      <c r="F8" s="111">
        <f>650+318.79</f>
        <v>968.79</v>
      </c>
      <c r="G8" s="85">
        <f>1209+360+1257.71+240+400+400+565.5+900+200+690.3+10.65+10.65+75.48+99.35+99.35+704.52+100+6+718.8+7553.66+238.42</f>
        <v>15839.390000000001</v>
      </c>
      <c r="H8" s="85">
        <v>20718.84</v>
      </c>
      <c r="I8" s="85">
        <v>23801.78</v>
      </c>
      <c r="J8" s="85">
        <f>400+650+300+604.5+700+200+861.9+300+764.4+206+604.5+200+449.52+500+702+106+331.54+600+300+881.4+400+200+7.33+7.33+52+102.67+102.67+728+866.03+9890.53</f>
        <v>22018.32</v>
      </c>
      <c r="K8" s="85">
        <f>400+650+912+1014+500+306+1271.4+400+499.81+312.35+406+200+10.65+10.65+75.48+99.35+99.35+100+704.52+7760.61+827.68</f>
        <v>16559.849999999999</v>
      </c>
      <c r="L8" s="85">
        <f>400+650+6+100+382.2+406+663+812+858+568.74+1006+200+200+286.31+206+916.5+7.33+7.33+52+102.67+102.67+728+946.06+6240.5</f>
        <v>15847.31</v>
      </c>
      <c r="M8" s="85">
        <f>600+650+627.9+500+600+606+955.5+206+306+200+306+100+100+881.4+106+10.65+10.65+75.48+99.35+99.35+704.52+936.47+5775.53</f>
        <v>14456.8</v>
      </c>
      <c r="N8" s="85">
        <f>300+650+100+312+912+100+822.9+606+306+581.1+306+432.9+10.65+10.65+75.48+99.35+99.35+704.52+953.76+3645.48</f>
        <v>11028.14</v>
      </c>
      <c r="O8" s="85">
        <f>400+650+100+729.3+206+686.4+1006+2023.47+100+406+234+100+302.09+406+592.8+306+7.33+7.33+52+100+102.67+102.67+728+839.86+5195.8</f>
        <v>15383.720000000001</v>
      </c>
      <c r="P8" s="85">
        <f>300+650+526.5+706+100+1107.6+806+300+438.03+206+721.5+10.65+10.65+75.48+99.35+99.35+330.76+704.52+985.64+7226.27</f>
        <v>15404.3</v>
      </c>
      <c r="Q8" s="85">
        <f>800+659.1+406+650+300+904.8+478.13+706+300+301.1+506+780+7.33+7.33+52+102.67+102.67+306+728+312+42.8+1365.87+7784.16</f>
        <v>17601.96</v>
      </c>
      <c r="R8" s="85">
        <f>600+650+200+682.5+406+721.5+858+441.4+706+183.3+300+106+643.5+272.92+306+200+624+206+288.6+700+10.65+10.65+75.48+99.35+99.35+704.52+11949.16+1381.51</f>
        <v>23426.389999999996</v>
      </c>
      <c r="S8" s="111"/>
      <c r="T8" s="136">
        <f t="shared" ref="T8:T18" si="1">SUM(G8:S8)</f>
        <v>212086.79999999996</v>
      </c>
      <c r="U8" s="20">
        <f t="shared" ref="U8:U67" si="2">E8-T8</f>
        <v>-122086.79999999996</v>
      </c>
    </row>
    <row r="9" spans="1:21">
      <c r="A9" s="127">
        <v>5</v>
      </c>
      <c r="B9" s="7" t="s">
        <v>5</v>
      </c>
      <c r="C9" s="34">
        <f>D9/D81</f>
        <v>8.3631059906600844E-2</v>
      </c>
      <c r="D9" s="159">
        <f t="shared" si="0"/>
        <v>2083.3333333333335</v>
      </c>
      <c r="E9" s="61">
        <f>E10+E11</f>
        <v>25000</v>
      </c>
      <c r="F9" s="81">
        <f t="shared" ref="F9" si="3">SUM(F10:F11)</f>
        <v>351.35</v>
      </c>
      <c r="G9" s="81">
        <f>SUM(G10:G11)</f>
        <v>157.88</v>
      </c>
      <c r="H9" s="81">
        <f>SUM(H10:H11)</f>
        <v>624.5</v>
      </c>
      <c r="I9" s="81">
        <f>SUM(I10:I11)</f>
        <v>5076.71</v>
      </c>
      <c r="J9" s="81">
        <f t="shared" ref="J9:S9" si="4">SUM(J10:J11)</f>
        <v>2201.69</v>
      </c>
      <c r="K9" s="81">
        <f t="shared" si="4"/>
        <v>2548.63</v>
      </c>
      <c r="L9" s="81">
        <f t="shared" si="4"/>
        <v>1809.6000000000001</v>
      </c>
      <c r="M9" s="81">
        <f t="shared" si="4"/>
        <v>1694.44</v>
      </c>
      <c r="N9" s="81">
        <f t="shared" si="4"/>
        <v>1939.2599999999998</v>
      </c>
      <c r="O9" s="81">
        <f t="shared" si="4"/>
        <v>1953.0800000000002</v>
      </c>
      <c r="P9" s="81">
        <f t="shared" si="4"/>
        <v>1818.0800000000002</v>
      </c>
      <c r="Q9" s="81">
        <f t="shared" si="4"/>
        <v>1709.48</v>
      </c>
      <c r="R9" s="81">
        <f t="shared" si="4"/>
        <v>6049.64</v>
      </c>
      <c r="S9" s="81">
        <f t="shared" si="4"/>
        <v>0</v>
      </c>
      <c r="T9" s="21">
        <f t="shared" si="1"/>
        <v>27582.99</v>
      </c>
      <c r="U9" s="21">
        <f t="shared" si="2"/>
        <v>-2582.9900000000016</v>
      </c>
    </row>
    <row r="10" spans="1:21" s="51" customFormat="1" ht="12" outlineLevel="1">
      <c r="A10" s="28" t="s">
        <v>45</v>
      </c>
      <c r="B10" s="40" t="s">
        <v>96</v>
      </c>
      <c r="C10" s="41">
        <f>D10/D81</f>
        <v>7.3595332717808729E-2</v>
      </c>
      <c r="D10" s="160">
        <f t="shared" si="0"/>
        <v>1833.3333333333333</v>
      </c>
      <c r="E10" s="44">
        <v>22000</v>
      </c>
      <c r="F10" s="112">
        <f>288.48+62.87</f>
        <v>351.35</v>
      </c>
      <c r="G10" s="87"/>
      <c r="H10" s="87"/>
      <c r="I10" s="87">
        <f>75.71+3502.24</f>
        <v>3577.95</v>
      </c>
      <c r="J10" s="87">
        <f>128.81+1972.96</f>
        <v>2101.77</v>
      </c>
      <c r="K10" s="87">
        <f>135.11+1786.76</f>
        <v>1921.87</v>
      </c>
      <c r="L10" s="87">
        <f>1729.64</f>
        <v>1729.64</v>
      </c>
      <c r="M10" s="87">
        <v>1669.94</v>
      </c>
      <c r="N10" s="87">
        <f>37.85+1659.55</f>
        <v>1697.3999999999999</v>
      </c>
      <c r="O10" s="87">
        <v>1699.2</v>
      </c>
      <c r="P10" s="87">
        <f>1666.16</f>
        <v>1666.16</v>
      </c>
      <c r="Q10" s="87">
        <v>1635.48</v>
      </c>
      <c r="R10" s="87">
        <f>1649.64+4400</f>
        <v>6049.64</v>
      </c>
      <c r="S10" s="112"/>
      <c r="T10" s="50">
        <f t="shared" si="1"/>
        <v>23749.05</v>
      </c>
      <c r="U10" s="50">
        <f t="shared" si="2"/>
        <v>-1749.0499999999993</v>
      </c>
    </row>
    <row r="11" spans="1:21" s="51" customFormat="1" outlineLevel="1" thickBot="1">
      <c r="A11" s="28" t="s">
        <v>46</v>
      </c>
      <c r="B11" s="47" t="s">
        <v>6</v>
      </c>
      <c r="C11" s="48">
        <f>D11/D81</f>
        <v>1.00357271887921E-2</v>
      </c>
      <c r="D11" s="161">
        <f t="shared" si="0"/>
        <v>250</v>
      </c>
      <c r="E11" s="62">
        <v>3000</v>
      </c>
      <c r="F11" s="113"/>
      <c r="G11" s="88">
        <f>112.92+44.96</f>
        <v>157.88</v>
      </c>
      <c r="H11" s="88">
        <f>600+24.5</f>
        <v>624.5</v>
      </c>
      <c r="I11" s="88">
        <f>900+44.96+44.96+27+120+82+66.96+45.96+66.96+45.96+54</f>
        <v>1498.7600000000002</v>
      </c>
      <c r="J11" s="88">
        <f>49.96*2</f>
        <v>99.92</v>
      </c>
      <c r="K11" s="88">
        <f>49.96+32+75+49.96+49.96+49.96+49.96+49.96+220</f>
        <v>626.76</v>
      </c>
      <c r="L11" s="88">
        <f>49.96+30</f>
        <v>79.960000000000008</v>
      </c>
      <c r="M11" s="88">
        <f>24.5</f>
        <v>24.5</v>
      </c>
      <c r="N11" s="88">
        <f>49.96+191.9</f>
        <v>241.86</v>
      </c>
      <c r="O11" s="88">
        <f>75+29+24+24+25.96+24+25.96+25.96</f>
        <v>253.88000000000002</v>
      </c>
      <c r="P11" s="88">
        <f>52+25.96+24+25.96+24</f>
        <v>151.92000000000002</v>
      </c>
      <c r="Q11" s="88">
        <f>25+49</f>
        <v>74</v>
      </c>
      <c r="R11" s="88"/>
      <c r="S11" s="113"/>
      <c r="T11" s="50">
        <f t="shared" si="1"/>
        <v>3833.940000000001</v>
      </c>
      <c r="U11" s="63">
        <f t="shared" si="2"/>
        <v>-833.94000000000096</v>
      </c>
    </row>
    <row r="12" spans="1:21">
      <c r="A12" s="24" t="s">
        <v>107</v>
      </c>
      <c r="B12" s="7" t="s">
        <v>7</v>
      </c>
      <c r="C12" s="34">
        <f>D12/D81</f>
        <v>0.2609289069085946</v>
      </c>
      <c r="D12" s="159">
        <f t="shared" si="0"/>
        <v>6500</v>
      </c>
      <c r="E12" s="61">
        <f>E13+E14</f>
        <v>78000</v>
      </c>
      <c r="F12" s="65">
        <f t="shared" ref="F12" si="5">SUM(F13:F14)</f>
        <v>0</v>
      </c>
      <c r="G12" s="65">
        <f t="shared" ref="G12:S12" si="6">SUM(G13:G14)</f>
        <v>0</v>
      </c>
      <c r="H12" s="65">
        <f>SUM(H13:H14)</f>
        <v>5000</v>
      </c>
      <c r="I12" s="65">
        <f t="shared" si="6"/>
        <v>7000</v>
      </c>
      <c r="J12" s="65">
        <f t="shared" si="6"/>
        <v>6000</v>
      </c>
      <c r="K12" s="65">
        <f t="shared" si="6"/>
        <v>6000</v>
      </c>
      <c r="L12" s="65">
        <f t="shared" si="6"/>
        <v>6000</v>
      </c>
      <c r="M12" s="65">
        <f t="shared" si="6"/>
        <v>6000</v>
      </c>
      <c r="N12" s="65">
        <f t="shared" si="6"/>
        <v>6000</v>
      </c>
      <c r="O12" s="65">
        <f t="shared" si="6"/>
        <v>6000</v>
      </c>
      <c r="P12" s="65">
        <f t="shared" si="6"/>
        <v>6000</v>
      </c>
      <c r="Q12" s="65">
        <f t="shared" si="6"/>
        <v>6000</v>
      </c>
      <c r="R12" s="65">
        <f t="shared" si="6"/>
        <v>12000</v>
      </c>
      <c r="S12" s="65">
        <f t="shared" si="6"/>
        <v>0</v>
      </c>
      <c r="T12" s="21">
        <f t="shared" si="1"/>
        <v>72000</v>
      </c>
      <c r="U12" s="21">
        <f t="shared" si="2"/>
        <v>6000</v>
      </c>
    </row>
    <row r="13" spans="1:21" s="51" customFormat="1" ht="12" outlineLevel="1">
      <c r="A13" s="28" t="s">
        <v>131</v>
      </c>
      <c r="B13" s="64" t="s">
        <v>8</v>
      </c>
      <c r="C13" s="41">
        <f>D13/D81</f>
        <v>0.2408574525310104</v>
      </c>
      <c r="D13" s="238">
        <f t="shared" si="0"/>
        <v>6000</v>
      </c>
      <c r="E13" s="44">
        <v>72000</v>
      </c>
      <c r="F13" s="114"/>
      <c r="G13" s="66"/>
      <c r="H13" s="66">
        <f>3500+1500</f>
        <v>5000</v>
      </c>
      <c r="I13" s="66">
        <v>7000</v>
      </c>
      <c r="J13" s="66">
        <f>4250+1750</f>
        <v>6000</v>
      </c>
      <c r="K13" s="66">
        <f>4250+1750</f>
        <v>6000</v>
      </c>
      <c r="L13" s="66">
        <v>6000</v>
      </c>
      <c r="M13" s="66">
        <v>6000</v>
      </c>
      <c r="N13" s="66">
        <v>6000</v>
      </c>
      <c r="O13" s="66">
        <v>6000</v>
      </c>
      <c r="P13" s="66">
        <v>6000</v>
      </c>
      <c r="Q13" s="66">
        <v>6000</v>
      </c>
      <c r="R13" s="66">
        <f>6000+6000</f>
        <v>12000</v>
      </c>
      <c r="S13" s="114"/>
      <c r="T13" s="50">
        <f t="shared" si="1"/>
        <v>72000</v>
      </c>
      <c r="U13" s="50">
        <f t="shared" si="2"/>
        <v>0</v>
      </c>
    </row>
    <row r="14" spans="1:21" s="51" customFormat="1" outlineLevel="1" thickBot="1">
      <c r="A14" s="28" t="s">
        <v>132</v>
      </c>
      <c r="B14" s="40" t="s">
        <v>9</v>
      </c>
      <c r="C14" s="41">
        <f>D14/D81</f>
        <v>2.0071454377584199E-2</v>
      </c>
      <c r="D14" s="160">
        <f t="shared" si="0"/>
        <v>500</v>
      </c>
      <c r="E14" s="44">
        <v>6000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49">
        <f t="shared" si="1"/>
        <v>0</v>
      </c>
      <c r="U14" s="50">
        <f t="shared" si="2"/>
        <v>6000</v>
      </c>
    </row>
    <row r="15" spans="1:21" ht="13.5" thickBot="1">
      <c r="A15" s="25" t="s">
        <v>108</v>
      </c>
      <c r="B15" s="6" t="s">
        <v>11</v>
      </c>
      <c r="C15" s="33">
        <f>D15/D81</f>
        <v>3.8470287557036381E-2</v>
      </c>
      <c r="D15" s="158">
        <f t="shared" si="0"/>
        <v>958.33333333333337</v>
      </c>
      <c r="E15" s="60">
        <v>11500</v>
      </c>
      <c r="F15" s="197"/>
      <c r="G15" s="91"/>
      <c r="H15" s="85"/>
      <c r="I15" s="85"/>
      <c r="J15" s="85"/>
      <c r="K15" s="85"/>
      <c r="L15" s="85">
        <v>2000</v>
      </c>
      <c r="M15" s="85">
        <f>1300+2264</f>
        <v>3564</v>
      </c>
      <c r="N15" s="85"/>
      <c r="O15" s="85"/>
      <c r="P15" s="85">
        <v>22051</v>
      </c>
      <c r="Q15" s="85"/>
      <c r="R15" s="85"/>
      <c r="S15" s="120"/>
      <c r="T15" s="20">
        <f>SUM(G15:S15)</f>
        <v>27615</v>
      </c>
      <c r="U15" s="20">
        <f t="shared" si="2"/>
        <v>-16115</v>
      </c>
    </row>
    <row r="16" spans="1:21">
      <c r="A16" s="24" t="s">
        <v>109</v>
      </c>
      <c r="B16" s="7" t="s">
        <v>69</v>
      </c>
      <c r="C16" s="34">
        <f>D16/D81</f>
        <v>0.23684316165549354</v>
      </c>
      <c r="D16" s="159">
        <f t="shared" si="0"/>
        <v>5900</v>
      </c>
      <c r="E16" s="61">
        <f>SUM(E17:E19)</f>
        <v>70800</v>
      </c>
      <c r="F16" s="100">
        <f t="shared" ref="F16" si="7">SUM(F17:F19)</f>
        <v>21778</v>
      </c>
      <c r="G16" s="67">
        <f t="shared" ref="G16:S16" si="8">SUM(G17:G19)</f>
        <v>9006</v>
      </c>
      <c r="H16" s="67">
        <f t="shared" si="8"/>
        <v>27018.510000000002</v>
      </c>
      <c r="I16" s="67">
        <f t="shared" si="8"/>
        <v>4744</v>
      </c>
      <c r="J16" s="67">
        <f t="shared" si="8"/>
        <v>1034</v>
      </c>
      <c r="K16" s="67">
        <f t="shared" si="8"/>
        <v>4361.8600000000006</v>
      </c>
      <c r="L16" s="67">
        <f t="shared" si="8"/>
        <v>3075</v>
      </c>
      <c r="M16" s="67">
        <f t="shared" si="8"/>
        <v>0</v>
      </c>
      <c r="N16" s="67">
        <f t="shared" si="8"/>
        <v>800</v>
      </c>
      <c r="O16" s="67">
        <f t="shared" si="8"/>
        <v>3573</v>
      </c>
      <c r="P16" s="67">
        <f t="shared" si="8"/>
        <v>800</v>
      </c>
      <c r="Q16" s="67">
        <f t="shared" si="8"/>
        <v>385</v>
      </c>
      <c r="R16" s="67">
        <f t="shared" si="8"/>
        <v>4676</v>
      </c>
      <c r="S16" s="100">
        <f t="shared" si="8"/>
        <v>0</v>
      </c>
      <c r="T16" s="21">
        <f t="shared" si="1"/>
        <v>59473.37</v>
      </c>
      <c r="U16" s="21">
        <f t="shared" si="2"/>
        <v>11326.629999999997</v>
      </c>
    </row>
    <row r="17" spans="1:21" s="51" customFormat="1" ht="12.75" customHeight="1" outlineLevel="1">
      <c r="A17" s="28" t="s">
        <v>47</v>
      </c>
      <c r="B17" s="40" t="s">
        <v>88</v>
      </c>
      <c r="C17" s="41">
        <f>D17/D81</f>
        <v>8.3631059906600844E-2</v>
      </c>
      <c r="D17" s="160">
        <f t="shared" si="0"/>
        <v>2083.3333333333335</v>
      </c>
      <c r="E17" s="44">
        <v>25000</v>
      </c>
      <c r="F17" s="102"/>
      <c r="G17" s="69">
        <f>6000+180+69</f>
        <v>6249</v>
      </c>
      <c r="H17" s="69">
        <v>2490.4899999999998</v>
      </c>
      <c r="I17" s="69">
        <f>124</f>
        <v>124</v>
      </c>
      <c r="J17" s="69">
        <v>134</v>
      </c>
      <c r="K17" s="69">
        <f>3561.86</f>
        <v>3561.86</v>
      </c>
      <c r="L17" s="69">
        <v>3075</v>
      </c>
      <c r="M17" s="69"/>
      <c r="N17" s="69"/>
      <c r="O17" s="69">
        <f>3300+273</f>
        <v>3573</v>
      </c>
      <c r="P17" s="69"/>
      <c r="Q17" s="69">
        <f>130+255</f>
        <v>385</v>
      </c>
      <c r="R17" s="69">
        <v>4076</v>
      </c>
      <c r="S17" s="102"/>
      <c r="T17" s="50">
        <f t="shared" si="1"/>
        <v>23668.35</v>
      </c>
      <c r="U17" s="50">
        <f t="shared" si="2"/>
        <v>1331.6500000000015</v>
      </c>
    </row>
    <row r="18" spans="1:21" s="51" customFormat="1" ht="12" outlineLevel="1">
      <c r="A18" s="28" t="s">
        <v>48</v>
      </c>
      <c r="B18" s="40" t="s">
        <v>72</v>
      </c>
      <c r="C18" s="41">
        <f>D18/D81</f>
        <v>3.3452423962640337E-2</v>
      </c>
      <c r="D18" s="160">
        <f t="shared" si="0"/>
        <v>833.33333333333337</v>
      </c>
      <c r="E18" s="44">
        <v>10000</v>
      </c>
      <c r="F18" s="102">
        <f>1570+300</f>
        <v>1870</v>
      </c>
      <c r="G18" s="69">
        <f>1800+957</f>
        <v>2757</v>
      </c>
      <c r="H18" s="69"/>
      <c r="I18" s="69">
        <f>1200+2100</f>
        <v>3300</v>
      </c>
      <c r="J18" s="69">
        <v>900</v>
      </c>
      <c r="K18" s="69">
        <v>800</v>
      </c>
      <c r="L18" s="69"/>
      <c r="M18" s="115"/>
      <c r="N18" s="69">
        <v>800</v>
      </c>
      <c r="O18" s="69"/>
      <c r="P18" s="69">
        <f>800</f>
        <v>800</v>
      </c>
      <c r="Q18" s="69"/>
      <c r="R18" s="69">
        <v>600</v>
      </c>
      <c r="S18" s="102"/>
      <c r="T18" s="50">
        <f t="shared" si="1"/>
        <v>9957</v>
      </c>
      <c r="U18" s="50">
        <f t="shared" si="2"/>
        <v>43</v>
      </c>
    </row>
    <row r="19" spans="1:21" s="51" customFormat="1" ht="12" outlineLevel="1">
      <c r="A19" s="28" t="s">
        <v>49</v>
      </c>
      <c r="B19" s="40" t="s">
        <v>68</v>
      </c>
      <c r="C19" s="41">
        <f>D19/D81</f>
        <v>0.11975967778625239</v>
      </c>
      <c r="D19" s="160">
        <f t="shared" si="0"/>
        <v>2983.3333333333335</v>
      </c>
      <c r="E19" s="44">
        <f t="shared" ref="E19:S19" si="9">SUM(E20:E22)</f>
        <v>35800</v>
      </c>
      <c r="F19" s="69">
        <f t="shared" ref="F19" si="10">SUM(F20:F22)</f>
        <v>19908</v>
      </c>
      <c r="G19" s="69">
        <f t="shared" si="9"/>
        <v>0</v>
      </c>
      <c r="H19" s="69">
        <f t="shared" si="9"/>
        <v>24528.02</v>
      </c>
      <c r="I19" s="69">
        <f t="shared" si="9"/>
        <v>1320</v>
      </c>
      <c r="J19" s="69">
        <f t="shared" si="9"/>
        <v>0</v>
      </c>
      <c r="K19" s="69">
        <f t="shared" si="9"/>
        <v>0</v>
      </c>
      <c r="L19" s="69">
        <f t="shared" si="9"/>
        <v>0</v>
      </c>
      <c r="M19" s="69">
        <f t="shared" si="9"/>
        <v>0</v>
      </c>
      <c r="N19" s="69">
        <f t="shared" si="9"/>
        <v>0</v>
      </c>
      <c r="O19" s="69">
        <f t="shared" si="9"/>
        <v>0</v>
      </c>
      <c r="P19" s="69">
        <f t="shared" si="9"/>
        <v>0</v>
      </c>
      <c r="Q19" s="69">
        <f t="shared" si="9"/>
        <v>0</v>
      </c>
      <c r="R19" s="69">
        <f t="shared" si="9"/>
        <v>0</v>
      </c>
      <c r="S19" s="69">
        <f t="shared" si="9"/>
        <v>0</v>
      </c>
      <c r="T19" s="50">
        <f>SUM(G19:S19)</f>
        <v>25848.02</v>
      </c>
      <c r="U19" s="123">
        <f t="shared" si="2"/>
        <v>9951.98</v>
      </c>
    </row>
    <row r="20" spans="1:21" s="12" customFormat="1" ht="11.25" outlineLevel="2">
      <c r="A20" s="26" t="s">
        <v>135</v>
      </c>
      <c r="B20" s="3" t="s">
        <v>194</v>
      </c>
      <c r="C20" s="35">
        <f>D20/D81</f>
        <v>4.3488151151432428E-3</v>
      </c>
      <c r="D20" s="162">
        <f t="shared" si="0"/>
        <v>108.33333333333333</v>
      </c>
      <c r="E20" s="75">
        <v>1300</v>
      </c>
      <c r="F20" s="116"/>
      <c r="G20" s="89"/>
      <c r="H20" s="89"/>
      <c r="I20" s="89">
        <v>1320</v>
      </c>
      <c r="J20" s="89"/>
      <c r="K20" s="89"/>
      <c r="L20" s="89"/>
      <c r="M20" s="89"/>
      <c r="N20" s="89"/>
      <c r="O20" s="89"/>
      <c r="P20" s="89"/>
      <c r="Q20" s="89"/>
      <c r="R20" s="89"/>
      <c r="S20" s="116"/>
      <c r="T20" s="19">
        <f t="shared" ref="T20:T24" si="11">SUM(G20:S20)</f>
        <v>1320</v>
      </c>
      <c r="U20" s="19">
        <f t="shared" si="2"/>
        <v>-20</v>
      </c>
    </row>
    <row r="21" spans="1:21" s="12" customFormat="1" ht="11.25" outlineLevel="2">
      <c r="A21" s="26" t="s">
        <v>136</v>
      </c>
      <c r="B21" s="70" t="s">
        <v>167</v>
      </c>
      <c r="C21" s="35">
        <f>D21/D81</f>
        <v>8.195843870846882E-2</v>
      </c>
      <c r="D21" s="163">
        <f t="shared" si="0"/>
        <v>2041.6666666666667</v>
      </c>
      <c r="E21" s="77">
        <v>24500</v>
      </c>
      <c r="F21" s="116"/>
      <c r="G21" s="89"/>
      <c r="H21" s="89">
        <v>24528.02</v>
      </c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116"/>
      <c r="T21" s="239">
        <f t="shared" si="11"/>
        <v>24528.02</v>
      </c>
      <c r="U21" s="19">
        <f t="shared" si="2"/>
        <v>-28.020000000000437</v>
      </c>
    </row>
    <row r="22" spans="1:21" s="12" customFormat="1" outlineLevel="2" thickBot="1">
      <c r="A22" s="26" t="s">
        <v>137</v>
      </c>
      <c r="B22" s="70" t="s">
        <v>93</v>
      </c>
      <c r="C22" s="35">
        <f>D22/D81</f>
        <v>3.3452423962640337E-2</v>
      </c>
      <c r="D22" s="163">
        <f t="shared" si="0"/>
        <v>833.33333333333337</v>
      </c>
      <c r="E22" s="77">
        <v>10000</v>
      </c>
      <c r="F22" s="116">
        <v>19908</v>
      </c>
      <c r="G22" s="89"/>
      <c r="H22" s="89"/>
      <c r="I22" s="89"/>
      <c r="J22" s="89"/>
      <c r="K22" s="89"/>
      <c r="L22" s="89"/>
      <c r="M22" s="69"/>
      <c r="N22" s="89"/>
      <c r="O22" s="89"/>
      <c r="P22" s="89"/>
      <c r="Q22" s="89"/>
      <c r="R22" s="89"/>
      <c r="S22" s="116"/>
      <c r="T22" s="19">
        <f t="shared" si="11"/>
        <v>0</v>
      </c>
      <c r="U22" s="19">
        <f t="shared" si="2"/>
        <v>10000</v>
      </c>
    </row>
    <row r="23" spans="1:21">
      <c r="A23" s="24" t="s">
        <v>110</v>
      </c>
      <c r="B23" s="7" t="s">
        <v>12</v>
      </c>
      <c r="C23" s="34">
        <f>D23/D81</f>
        <v>0.10872037787858109</v>
      </c>
      <c r="D23" s="159">
        <f t="shared" si="0"/>
        <v>2708.3333333333335</v>
      </c>
      <c r="E23" s="61">
        <f>SUM(E24:E27)</f>
        <v>32500</v>
      </c>
      <c r="F23" s="100">
        <f t="shared" ref="F23" si="12">SUM(F24:F27)</f>
        <v>0</v>
      </c>
      <c r="G23" s="67">
        <f t="shared" ref="G23:S23" si="13">SUM(G24:G27)</f>
        <v>1451.5</v>
      </c>
      <c r="H23" s="67">
        <f t="shared" si="13"/>
        <v>4297.1000000000004</v>
      </c>
      <c r="I23" s="67">
        <f>SUM(I24:I27)</f>
        <v>1096</v>
      </c>
      <c r="J23" s="67">
        <f t="shared" si="13"/>
        <v>800</v>
      </c>
      <c r="K23" s="67">
        <f t="shared" si="13"/>
        <v>9446.99</v>
      </c>
      <c r="L23" s="67">
        <f t="shared" si="13"/>
        <v>967.95</v>
      </c>
      <c r="M23" s="67">
        <f t="shared" si="13"/>
        <v>0</v>
      </c>
      <c r="N23" s="67">
        <f>SUM(N24:N27)</f>
        <v>260.89999999999998</v>
      </c>
      <c r="O23" s="67">
        <f t="shared" si="13"/>
        <v>6211.71</v>
      </c>
      <c r="P23" s="67">
        <f t="shared" si="13"/>
        <v>4032</v>
      </c>
      <c r="Q23" s="67">
        <f t="shared" si="13"/>
        <v>0</v>
      </c>
      <c r="R23" s="67">
        <f t="shared" si="13"/>
        <v>5338.5</v>
      </c>
      <c r="S23" s="100">
        <f t="shared" si="13"/>
        <v>0</v>
      </c>
      <c r="T23" s="21">
        <f t="shared" si="11"/>
        <v>33902.65</v>
      </c>
      <c r="U23" s="21">
        <f t="shared" si="2"/>
        <v>-1402.6500000000015</v>
      </c>
    </row>
    <row r="24" spans="1:21" s="51" customFormat="1" ht="12" outlineLevel="1">
      <c r="A24" s="28" t="s">
        <v>50</v>
      </c>
      <c r="B24" s="40" t="s">
        <v>182</v>
      </c>
      <c r="C24" s="41">
        <f>D24/D81</f>
        <v>8.3631059906600844E-2</v>
      </c>
      <c r="D24" s="160">
        <f t="shared" si="0"/>
        <v>2083.3333333333335</v>
      </c>
      <c r="E24" s="44">
        <v>25000</v>
      </c>
      <c r="F24" s="102"/>
      <c r="G24" s="69">
        <f>300+305.5+250+550+46</f>
        <v>1451.5</v>
      </c>
      <c r="H24" s="69">
        <v>4297.1000000000004</v>
      </c>
      <c r="I24" s="69">
        <v>300</v>
      </c>
      <c r="J24" s="69"/>
      <c r="K24" s="69">
        <f>3206.99</f>
        <v>3206.99</v>
      </c>
      <c r="L24" s="69"/>
      <c r="M24" s="69"/>
      <c r="N24" s="69">
        <f>260.9</f>
        <v>260.89999999999998</v>
      </c>
      <c r="O24" s="69">
        <f>3771.01+182.7+148+1600</f>
        <v>5701.71</v>
      </c>
      <c r="P24" s="69">
        <f>1200+420</f>
        <v>1620</v>
      </c>
      <c r="Q24" s="69"/>
      <c r="R24" s="69">
        <f>4450+100+788.5</f>
        <v>5338.5</v>
      </c>
      <c r="S24" s="102"/>
      <c r="T24" s="50">
        <f t="shared" si="11"/>
        <v>22176.7</v>
      </c>
      <c r="U24" s="50">
        <f t="shared" si="2"/>
        <v>2823.2999999999993</v>
      </c>
    </row>
    <row r="25" spans="1:21" s="51" customFormat="1" ht="12" outlineLevel="1">
      <c r="A25" s="28" t="s">
        <v>51</v>
      </c>
      <c r="B25" s="40" t="s">
        <v>15</v>
      </c>
      <c r="C25" s="41">
        <f>D25/D81</f>
        <v>1.6726211981320169E-2</v>
      </c>
      <c r="D25" s="160">
        <f t="shared" si="0"/>
        <v>416.66666666666669</v>
      </c>
      <c r="E25" s="44">
        <v>5000</v>
      </c>
      <c r="F25" s="102"/>
      <c r="G25" s="69"/>
      <c r="H25" s="69"/>
      <c r="I25" s="69">
        <f>600+196</f>
        <v>796</v>
      </c>
      <c r="J25" s="69"/>
      <c r="K25" s="69">
        <f>5580+300+230+130</f>
        <v>6240</v>
      </c>
      <c r="L25" s="69">
        <f>217.95+500+250</f>
        <v>967.95</v>
      </c>
      <c r="M25" s="69"/>
      <c r="N25" s="69"/>
      <c r="O25" s="69">
        <f>250+260</f>
        <v>510</v>
      </c>
      <c r="P25" s="69">
        <v>1950</v>
      </c>
      <c r="Q25" s="69"/>
      <c r="R25" s="69"/>
      <c r="S25" s="102"/>
      <c r="T25" s="50">
        <f t="shared" ref="T25:T68" si="14">SUM(G25:S25)</f>
        <v>10463.950000000001</v>
      </c>
      <c r="U25" s="50">
        <f t="shared" si="2"/>
        <v>-5463.9500000000007</v>
      </c>
    </row>
    <row r="26" spans="1:21" s="51" customFormat="1" ht="12" outlineLevel="1">
      <c r="A26" s="28" t="s">
        <v>52</v>
      </c>
      <c r="B26" s="40" t="s">
        <v>183</v>
      </c>
      <c r="C26" s="41">
        <f>D26/D81</f>
        <v>8.3631059906600844E-3</v>
      </c>
      <c r="D26" s="160">
        <f t="shared" si="0"/>
        <v>208.33333333333334</v>
      </c>
      <c r="E26" s="44">
        <v>2500</v>
      </c>
      <c r="F26" s="102"/>
      <c r="G26" s="69"/>
      <c r="H26" s="69"/>
      <c r="I26" s="69"/>
      <c r="J26" s="69">
        <f>302+462+36</f>
        <v>800</v>
      </c>
      <c r="K26" s="69"/>
      <c r="L26" s="69"/>
      <c r="M26" s="69"/>
      <c r="N26" s="69"/>
      <c r="O26" s="69"/>
      <c r="P26" s="69">
        <v>462</v>
      </c>
      <c r="Q26" s="69"/>
      <c r="R26" s="69"/>
      <c r="S26" s="102"/>
      <c r="T26" s="50">
        <f t="shared" si="14"/>
        <v>1262</v>
      </c>
      <c r="U26" s="50">
        <f t="shared" si="2"/>
        <v>1238</v>
      </c>
    </row>
    <row r="27" spans="1:21" s="51" customFormat="1" outlineLevel="1" thickBot="1">
      <c r="A27" s="29" t="s">
        <v>53</v>
      </c>
      <c r="B27" s="47" t="s">
        <v>84</v>
      </c>
      <c r="C27" s="48">
        <f>D27/D81</f>
        <v>0</v>
      </c>
      <c r="D27" s="161">
        <f t="shared" si="0"/>
        <v>0</v>
      </c>
      <c r="E27" s="62">
        <v>0</v>
      </c>
      <c r="F27" s="117"/>
      <c r="G27" s="90"/>
      <c r="H27" s="115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17"/>
      <c r="T27" s="63">
        <f t="shared" si="14"/>
        <v>0</v>
      </c>
      <c r="U27" s="63">
        <f t="shared" si="2"/>
        <v>0</v>
      </c>
    </row>
    <row r="28" spans="1:21" ht="27" customHeight="1">
      <c r="A28" s="24" t="s">
        <v>111</v>
      </c>
      <c r="B28" s="8" t="s">
        <v>17</v>
      </c>
      <c r="C28" s="38">
        <f>D28/D81</f>
        <v>2.0124978255924426</v>
      </c>
      <c r="D28" s="164">
        <f t="shared" si="0"/>
        <v>50133.333333333336</v>
      </c>
      <c r="E28" s="78">
        <f>SUM(E29:E43)</f>
        <v>601600</v>
      </c>
      <c r="F28" s="101">
        <f t="shared" ref="F28" si="15">SUM(F29:F43)</f>
        <v>8700</v>
      </c>
      <c r="G28" s="68">
        <f t="shared" ref="G28:S28" si="16">SUM(G29:G43)</f>
        <v>23025</v>
      </c>
      <c r="H28" s="68">
        <f t="shared" si="16"/>
        <v>10950</v>
      </c>
      <c r="I28" s="68">
        <f>SUM(I29:I43)</f>
        <v>8800</v>
      </c>
      <c r="J28" s="68">
        <f t="shared" si="16"/>
        <v>243459</v>
      </c>
      <c r="K28" s="68">
        <f t="shared" si="16"/>
        <v>7450</v>
      </c>
      <c r="L28" s="68">
        <f t="shared" si="16"/>
        <v>37975</v>
      </c>
      <c r="M28" s="68">
        <f t="shared" si="16"/>
        <v>166217.29999999999</v>
      </c>
      <c r="N28" s="68">
        <f t="shared" si="16"/>
        <v>45095</v>
      </c>
      <c r="O28" s="68">
        <f t="shared" si="16"/>
        <v>7125</v>
      </c>
      <c r="P28" s="68">
        <f t="shared" si="16"/>
        <v>5500</v>
      </c>
      <c r="Q28" s="68">
        <f t="shared" si="16"/>
        <v>22610</v>
      </c>
      <c r="R28" s="68">
        <f t="shared" si="16"/>
        <v>49235</v>
      </c>
      <c r="S28" s="101">
        <f t="shared" si="16"/>
        <v>4900</v>
      </c>
      <c r="T28" s="104">
        <f t="shared" si="14"/>
        <v>632341.30000000005</v>
      </c>
      <c r="U28" s="105">
        <f t="shared" si="2"/>
        <v>-30741.300000000047</v>
      </c>
    </row>
    <row r="29" spans="1:21" s="51" customFormat="1" ht="12" outlineLevel="1">
      <c r="A29" s="28" t="s">
        <v>56</v>
      </c>
      <c r="B29" s="40" t="s">
        <v>163</v>
      </c>
      <c r="C29" s="41">
        <f>D29/D81</f>
        <v>1.00357271887921E-2</v>
      </c>
      <c r="D29" s="160">
        <f t="shared" si="0"/>
        <v>250</v>
      </c>
      <c r="E29" s="44">
        <v>3000</v>
      </c>
      <c r="F29" s="102"/>
      <c r="G29" s="69"/>
      <c r="H29" s="69"/>
      <c r="I29" s="69"/>
      <c r="J29" s="69"/>
      <c r="K29" s="69"/>
      <c r="L29" s="69"/>
      <c r="M29" s="69"/>
      <c r="N29" s="69">
        <f>758</f>
        <v>758</v>
      </c>
      <c r="O29" s="69"/>
      <c r="P29" s="69"/>
      <c r="Q29" s="69">
        <v>7540</v>
      </c>
      <c r="R29" s="69"/>
      <c r="S29" s="102"/>
      <c r="T29" s="50">
        <f t="shared" si="14"/>
        <v>8298</v>
      </c>
      <c r="U29" s="50">
        <f t="shared" si="2"/>
        <v>-5298</v>
      </c>
    </row>
    <row r="30" spans="1:21" s="51" customFormat="1" ht="12" outlineLevel="1">
      <c r="A30" s="28" t="s">
        <v>57</v>
      </c>
      <c r="B30" s="73" t="s">
        <v>55</v>
      </c>
      <c r="C30" s="41">
        <f>D30/D81</f>
        <v>0.200714543775842</v>
      </c>
      <c r="D30" s="160">
        <f t="shared" si="0"/>
        <v>5000</v>
      </c>
      <c r="E30" s="184">
        <v>60000</v>
      </c>
      <c r="F30" s="102">
        <v>3000</v>
      </c>
      <c r="G30" s="69">
        <f>3000+4025</f>
        <v>7025</v>
      </c>
      <c r="H30" s="69">
        <f>1300+3450</f>
        <v>4750</v>
      </c>
      <c r="I30" s="69">
        <f>3450+3450</f>
        <v>6900</v>
      </c>
      <c r="J30" s="69">
        <f>2875</f>
        <v>2875</v>
      </c>
      <c r="K30" s="69">
        <v>2300</v>
      </c>
      <c r="L30" s="69">
        <f>5750+1725</f>
        <v>7475</v>
      </c>
      <c r="M30" s="69"/>
      <c r="N30" s="69"/>
      <c r="O30" s="69">
        <f>4025</f>
        <v>4025</v>
      </c>
      <c r="P30" s="69"/>
      <c r="Q30" s="69">
        <f>2300</f>
        <v>2300</v>
      </c>
      <c r="R30" s="69">
        <f>5000+3000</f>
        <v>8000</v>
      </c>
      <c r="S30" s="102"/>
      <c r="T30" s="123">
        <f t="shared" si="14"/>
        <v>45650</v>
      </c>
      <c r="U30" s="123">
        <f t="shared" si="2"/>
        <v>14350</v>
      </c>
    </row>
    <row r="31" spans="1:21" s="51" customFormat="1" ht="12" outlineLevel="1">
      <c r="A31" s="28" t="s">
        <v>58</v>
      </c>
      <c r="B31" s="74" t="s">
        <v>195</v>
      </c>
      <c r="C31" s="41">
        <f>D31/D81</f>
        <v>0.100357271887921</v>
      </c>
      <c r="D31" s="160">
        <f t="shared" si="0"/>
        <v>2500</v>
      </c>
      <c r="E31" s="44">
        <v>30000</v>
      </c>
      <c r="F31" s="102">
        <v>2500</v>
      </c>
      <c r="G31" s="69"/>
      <c r="H31" s="69">
        <v>5000</v>
      </c>
      <c r="I31" s="69"/>
      <c r="J31" s="69">
        <f>2500</f>
        <v>2500</v>
      </c>
      <c r="K31" s="69">
        <v>2500</v>
      </c>
      <c r="L31" s="69">
        <v>2500</v>
      </c>
      <c r="M31" s="69">
        <v>2500</v>
      </c>
      <c r="N31" s="69">
        <v>2500</v>
      </c>
      <c r="O31" s="69">
        <v>2500</v>
      </c>
      <c r="P31" s="69">
        <v>2500</v>
      </c>
      <c r="Q31" s="69">
        <v>2500</v>
      </c>
      <c r="R31" s="69">
        <v>2500</v>
      </c>
      <c r="S31" s="102">
        <v>2500</v>
      </c>
      <c r="T31" s="50">
        <f t="shared" si="14"/>
        <v>30000</v>
      </c>
      <c r="U31" s="50">
        <f t="shared" si="2"/>
        <v>0</v>
      </c>
    </row>
    <row r="32" spans="1:21" s="51" customFormat="1" ht="12" outlineLevel="1">
      <c r="A32" s="28" t="s">
        <v>73</v>
      </c>
      <c r="B32" s="40" t="s">
        <v>189</v>
      </c>
      <c r="C32" s="41">
        <f>D32/D81</f>
        <v>3.3452423962640337E-2</v>
      </c>
      <c r="D32" s="160">
        <f t="shared" si="0"/>
        <v>833.33333333333337</v>
      </c>
      <c r="E32" s="44">
        <v>10000</v>
      </c>
      <c r="F32" s="102"/>
      <c r="G32" s="69">
        <v>16000</v>
      </c>
      <c r="H32" s="69"/>
      <c r="I32" s="69"/>
      <c r="J32" s="69"/>
      <c r="K32" s="69"/>
      <c r="L32" s="115"/>
      <c r="M32" s="69"/>
      <c r="N32" s="69"/>
      <c r="O32" s="69"/>
      <c r="P32" s="69"/>
      <c r="Q32" s="69"/>
      <c r="R32" s="69"/>
      <c r="S32" s="102"/>
      <c r="T32" s="50">
        <f t="shared" si="14"/>
        <v>16000</v>
      </c>
      <c r="U32" s="50">
        <f t="shared" si="2"/>
        <v>-6000</v>
      </c>
    </row>
    <row r="33" spans="1:21" s="51" customFormat="1" ht="12" outlineLevel="1">
      <c r="A33" s="28" t="s">
        <v>75</v>
      </c>
      <c r="B33" s="40" t="s">
        <v>20</v>
      </c>
      <c r="C33" s="41">
        <f>D33/D81</f>
        <v>3.2114327004134718E-2</v>
      </c>
      <c r="D33" s="160">
        <f t="shared" si="0"/>
        <v>800</v>
      </c>
      <c r="E33" s="44">
        <v>9600</v>
      </c>
      <c r="F33" s="102">
        <v>2400</v>
      </c>
      <c r="G33" s="69"/>
      <c r="H33" s="69"/>
      <c r="I33" s="69"/>
      <c r="J33" s="69">
        <v>2400</v>
      </c>
      <c r="K33" s="69"/>
      <c r="L33" s="69"/>
      <c r="M33" s="69">
        <v>2400</v>
      </c>
      <c r="N33" s="69"/>
      <c r="O33" s="69"/>
      <c r="P33" s="69">
        <v>2400</v>
      </c>
      <c r="Q33" s="69"/>
      <c r="R33" s="69"/>
      <c r="S33" s="102">
        <v>2400</v>
      </c>
      <c r="T33" s="123">
        <f t="shared" si="14"/>
        <v>9600</v>
      </c>
      <c r="U33" s="123">
        <f t="shared" si="2"/>
        <v>0</v>
      </c>
    </row>
    <row r="34" spans="1:21" s="51" customFormat="1" ht="12" outlineLevel="1">
      <c r="A34" s="28" t="s">
        <v>79</v>
      </c>
      <c r="B34" s="40" t="s">
        <v>100</v>
      </c>
      <c r="C34" s="41">
        <f>D34/D81</f>
        <v>6.6904847925280666E-3</v>
      </c>
      <c r="D34" s="160">
        <f t="shared" si="0"/>
        <v>166.66666666666666</v>
      </c>
      <c r="E34" s="44">
        <v>2000</v>
      </c>
      <c r="F34" s="102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102"/>
      <c r="T34" s="123">
        <f t="shared" si="14"/>
        <v>0</v>
      </c>
      <c r="U34" s="123">
        <f t="shared" si="2"/>
        <v>2000</v>
      </c>
    </row>
    <row r="35" spans="1:21" s="51" customFormat="1" ht="12" outlineLevel="1">
      <c r="A35" s="28" t="s">
        <v>82</v>
      </c>
      <c r="B35" s="40" t="s">
        <v>101</v>
      </c>
      <c r="C35" s="41">
        <f>D35/D81</f>
        <v>1.6726211981320169E-2</v>
      </c>
      <c r="D35" s="160">
        <f t="shared" si="0"/>
        <v>416.66666666666669</v>
      </c>
      <c r="E35" s="44">
        <v>5000</v>
      </c>
      <c r="F35" s="102"/>
      <c r="G35" s="69"/>
      <c r="H35" s="69"/>
      <c r="I35" s="69"/>
      <c r="J35" s="69"/>
      <c r="K35" s="69"/>
      <c r="L35" s="69"/>
      <c r="M35" s="69">
        <v>1590.3</v>
      </c>
      <c r="N35" s="69"/>
      <c r="O35" s="69"/>
      <c r="P35" s="69"/>
      <c r="Q35" s="69"/>
      <c r="R35" s="69"/>
      <c r="S35" s="102"/>
      <c r="T35" s="123">
        <f t="shared" si="14"/>
        <v>1590.3</v>
      </c>
      <c r="U35" s="123">
        <f t="shared" si="2"/>
        <v>3409.7</v>
      </c>
    </row>
    <row r="36" spans="1:21" s="51" customFormat="1" ht="12" outlineLevel="1">
      <c r="A36" s="28" t="s">
        <v>103</v>
      </c>
      <c r="B36" s="40" t="s">
        <v>21</v>
      </c>
      <c r="C36" s="41">
        <f>D36/D81</f>
        <v>6.6904847925280675E-2</v>
      </c>
      <c r="D36" s="160">
        <f t="shared" si="0"/>
        <v>1666.6666666666667</v>
      </c>
      <c r="E36" s="184">
        <v>20000</v>
      </c>
      <c r="F36" s="102"/>
      <c r="G36" s="69"/>
      <c r="H36" s="69"/>
      <c r="I36" s="69"/>
      <c r="J36" s="69">
        <v>5406</v>
      </c>
      <c r="K36" s="69"/>
      <c r="L36" s="69"/>
      <c r="M36" s="69"/>
      <c r="N36" s="69"/>
      <c r="O36" s="69"/>
      <c r="P36" s="69"/>
      <c r="Q36" s="69"/>
      <c r="R36" s="69"/>
      <c r="S36" s="102"/>
      <c r="T36" s="123">
        <f t="shared" si="14"/>
        <v>5406</v>
      </c>
      <c r="U36" s="123">
        <f t="shared" si="2"/>
        <v>14594</v>
      </c>
    </row>
    <row r="37" spans="1:21" s="51" customFormat="1" ht="12" outlineLevel="1">
      <c r="A37" s="28" t="s">
        <v>138</v>
      </c>
      <c r="B37" s="40" t="s">
        <v>207</v>
      </c>
      <c r="C37" s="41">
        <f>D37/D81</f>
        <v>0.16726211981320169</v>
      </c>
      <c r="D37" s="160">
        <f t="shared" si="0"/>
        <v>4166.666666666667</v>
      </c>
      <c r="E37" s="184">
        <v>50000</v>
      </c>
      <c r="F37" s="102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102"/>
      <c r="T37" s="123">
        <f t="shared" si="14"/>
        <v>0</v>
      </c>
      <c r="U37" s="123">
        <f t="shared" si="2"/>
        <v>50000</v>
      </c>
    </row>
    <row r="38" spans="1:21" s="51" customFormat="1" ht="12" outlineLevel="1">
      <c r="A38" s="28" t="s">
        <v>139</v>
      </c>
      <c r="B38" s="40" t="s">
        <v>81</v>
      </c>
      <c r="C38" s="41">
        <f>D38/D81</f>
        <v>6.6904847925280675E-2</v>
      </c>
      <c r="D38" s="160">
        <f t="shared" si="0"/>
        <v>1666.6666666666667</v>
      </c>
      <c r="E38" s="184">
        <v>20000</v>
      </c>
      <c r="F38" s="102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102"/>
      <c r="T38" s="123">
        <f t="shared" si="14"/>
        <v>0</v>
      </c>
      <c r="U38" s="123">
        <f t="shared" si="2"/>
        <v>20000</v>
      </c>
    </row>
    <row r="39" spans="1:21" s="51" customFormat="1" ht="12" outlineLevel="1">
      <c r="A39" s="28" t="s">
        <v>140</v>
      </c>
      <c r="B39" s="64" t="s">
        <v>78</v>
      </c>
      <c r="C39" s="41">
        <f>D39/D81</f>
        <v>0.10704775668044907</v>
      </c>
      <c r="D39" s="160">
        <f t="shared" si="0"/>
        <v>2666.6666666666665</v>
      </c>
      <c r="E39" s="44">
        <v>32000</v>
      </c>
      <c r="F39" s="102">
        <v>800</v>
      </c>
      <c r="G39" s="69"/>
      <c r="H39" s="69">
        <v>1200</v>
      </c>
      <c r="I39" s="69">
        <v>1900</v>
      </c>
      <c r="J39" s="69">
        <v>2500</v>
      </c>
      <c r="K39" s="69">
        <v>2650</v>
      </c>
      <c r="L39" s="69">
        <v>3000</v>
      </c>
      <c r="M39" s="69">
        <v>6230</v>
      </c>
      <c r="N39" s="69">
        <v>6730</v>
      </c>
      <c r="O39" s="69">
        <v>600</v>
      </c>
      <c r="P39" s="69">
        <v>600</v>
      </c>
      <c r="Q39" s="69">
        <f>1200+2270+6800</f>
        <v>10270</v>
      </c>
      <c r="R39" s="69">
        <v>1500</v>
      </c>
      <c r="S39" s="102"/>
      <c r="T39" s="123">
        <f t="shared" si="14"/>
        <v>37180</v>
      </c>
      <c r="U39" s="123">
        <f t="shared" si="2"/>
        <v>-5180</v>
      </c>
    </row>
    <row r="40" spans="1:21" s="51" customFormat="1" ht="12" outlineLevel="1">
      <c r="A40" s="28" t="s">
        <v>141</v>
      </c>
      <c r="B40" s="40" t="s">
        <v>188</v>
      </c>
      <c r="C40" s="142">
        <f>D40/D81</f>
        <v>3.3452423962640337E-2</v>
      </c>
      <c r="D40" s="160">
        <f t="shared" si="0"/>
        <v>833.33333333333337</v>
      </c>
      <c r="E40" s="44">
        <v>10000</v>
      </c>
      <c r="F40" s="117"/>
      <c r="G40" s="90"/>
      <c r="H40" s="90"/>
      <c r="I40" s="90"/>
      <c r="J40" s="90">
        <v>6600</v>
      </c>
      <c r="K40" s="90"/>
      <c r="L40" s="69"/>
      <c r="M40" s="90"/>
      <c r="N40" s="90"/>
      <c r="O40" s="90"/>
      <c r="P40" s="90"/>
      <c r="Q40" s="90"/>
      <c r="R40" s="90"/>
      <c r="S40" s="117"/>
      <c r="T40" s="123">
        <f t="shared" si="14"/>
        <v>6600</v>
      </c>
      <c r="U40" s="123">
        <f t="shared" si="2"/>
        <v>3400</v>
      </c>
    </row>
    <row r="41" spans="1:21" s="51" customFormat="1" ht="12" outlineLevel="1">
      <c r="A41" s="28" t="s">
        <v>142</v>
      </c>
      <c r="B41" s="143" t="s">
        <v>187</v>
      </c>
      <c r="C41" s="129">
        <f>D41/D81</f>
        <v>8.3631059906600844E-2</v>
      </c>
      <c r="D41" s="165">
        <f t="shared" si="0"/>
        <v>2083.3333333333335</v>
      </c>
      <c r="E41" s="44">
        <v>25000</v>
      </c>
      <c r="F41" s="117"/>
      <c r="G41" s="90"/>
      <c r="H41" s="90"/>
      <c r="I41" s="90"/>
      <c r="J41" s="90"/>
      <c r="K41" s="90"/>
      <c r="L41" s="69">
        <v>25000</v>
      </c>
      <c r="M41" s="90"/>
      <c r="N41" s="90"/>
      <c r="O41" s="90"/>
      <c r="P41" s="90"/>
      <c r="Q41" s="90"/>
      <c r="R41" s="90"/>
      <c r="S41" s="117"/>
      <c r="T41" s="123">
        <f t="shared" si="14"/>
        <v>25000</v>
      </c>
      <c r="U41" s="123">
        <f t="shared" si="2"/>
        <v>0</v>
      </c>
    </row>
    <row r="42" spans="1:21" s="51" customFormat="1" ht="12" outlineLevel="1">
      <c r="A42" s="28" t="s">
        <v>164</v>
      </c>
      <c r="B42" s="191" t="s">
        <v>191</v>
      </c>
      <c r="C42" s="129">
        <f>D42/D81</f>
        <v>1.0704775668044908</v>
      </c>
      <c r="D42" s="165">
        <f t="shared" si="0"/>
        <v>26666.666666666668</v>
      </c>
      <c r="E42" s="184">
        <v>320000</v>
      </c>
      <c r="F42" s="117"/>
      <c r="G42" s="90"/>
      <c r="H42" s="90"/>
      <c r="I42" s="90"/>
      <c r="J42" s="90">
        <f>72620+142858+5700</f>
        <v>221178</v>
      </c>
      <c r="K42" s="90"/>
      <c r="L42" s="69"/>
      <c r="M42" s="90">
        <f>142858+10639</f>
        <v>153497</v>
      </c>
      <c r="N42" s="90">
        <v>35107</v>
      </c>
      <c r="O42" s="90"/>
      <c r="P42" s="90"/>
      <c r="Q42" s="90"/>
      <c r="R42" s="90">
        <f>37235</f>
        <v>37235</v>
      </c>
      <c r="S42" s="117"/>
      <c r="T42" s="123">
        <f t="shared" si="14"/>
        <v>447017</v>
      </c>
      <c r="U42" s="123">
        <f t="shared" si="2"/>
        <v>-127017</v>
      </c>
    </row>
    <row r="43" spans="1:21" s="51" customFormat="1" outlineLevel="1" thickBot="1">
      <c r="A43" s="28" t="s">
        <v>165</v>
      </c>
      <c r="B43" s="152" t="s">
        <v>166</v>
      </c>
      <c r="C43" s="144">
        <f>D43/D81</f>
        <v>1.6726211981320169E-2</v>
      </c>
      <c r="D43" s="160">
        <f t="shared" ref="D43:D79" si="17">E43/12</f>
        <v>416.66666666666669</v>
      </c>
      <c r="E43" s="44">
        <v>5000</v>
      </c>
      <c r="F43" s="102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102"/>
      <c r="T43" s="138">
        <f t="shared" si="14"/>
        <v>0</v>
      </c>
      <c r="U43" s="123">
        <f t="shared" si="2"/>
        <v>5000</v>
      </c>
    </row>
    <row r="44" spans="1:21">
      <c r="A44" s="24" t="s">
        <v>112</v>
      </c>
      <c r="B44" s="7" t="s">
        <v>102</v>
      </c>
      <c r="C44" s="34">
        <f>D44/D81</f>
        <v>0.51851257142092511</v>
      </c>
      <c r="D44" s="159">
        <f t="shared" si="17"/>
        <v>12916.666666666666</v>
      </c>
      <c r="E44" s="61">
        <f>SUM(E45:E51)</f>
        <v>155000</v>
      </c>
      <c r="F44" s="67">
        <f t="shared" ref="F44" si="18">SUM(F45:F51)</f>
        <v>0</v>
      </c>
      <c r="G44" s="67">
        <f t="shared" ref="G44:S44" si="19">SUM(G45:G51)</f>
        <v>8125.26</v>
      </c>
      <c r="H44" s="67">
        <f t="shared" si="19"/>
        <v>26473.97</v>
      </c>
      <c r="I44" s="67">
        <f t="shared" si="19"/>
        <v>4013</v>
      </c>
      <c r="J44" s="67">
        <f t="shared" si="19"/>
        <v>16612.900000000001</v>
      </c>
      <c r="K44" s="67">
        <f t="shared" si="19"/>
        <v>27223.65</v>
      </c>
      <c r="L44" s="67">
        <f t="shared" si="19"/>
        <v>14225.3</v>
      </c>
      <c r="M44" s="67">
        <f t="shared" si="19"/>
        <v>22821.98</v>
      </c>
      <c r="N44" s="67">
        <f t="shared" si="19"/>
        <v>8129</v>
      </c>
      <c r="O44" s="67">
        <f t="shared" si="19"/>
        <v>8128.98</v>
      </c>
      <c r="P44" s="67">
        <f t="shared" si="19"/>
        <v>26064.940000000002</v>
      </c>
      <c r="Q44" s="67">
        <f t="shared" si="19"/>
        <v>38858.83</v>
      </c>
      <c r="R44" s="67">
        <f t="shared" si="19"/>
        <v>7164.76</v>
      </c>
      <c r="S44" s="67">
        <f t="shared" si="19"/>
        <v>0</v>
      </c>
      <c r="T44" s="139">
        <f t="shared" si="14"/>
        <v>207842.57</v>
      </c>
      <c r="U44" s="140">
        <f t="shared" si="2"/>
        <v>-52842.570000000007</v>
      </c>
    </row>
    <row r="45" spans="1:21" s="51" customFormat="1" ht="12" outlineLevel="1">
      <c r="A45" s="28" t="s">
        <v>59</v>
      </c>
      <c r="B45" s="40" t="s">
        <v>80</v>
      </c>
      <c r="C45" s="41">
        <f>D45/D81</f>
        <v>0.13380969585056135</v>
      </c>
      <c r="D45" s="160">
        <f t="shared" si="17"/>
        <v>3333.3333333333335</v>
      </c>
      <c r="E45" s="44">
        <v>40000</v>
      </c>
      <c r="F45" s="102"/>
      <c r="G45" s="69"/>
      <c r="H45" s="69">
        <f>150+49.5+69.84</f>
        <v>269.34000000000003</v>
      </c>
      <c r="I45" s="69"/>
      <c r="J45" s="69">
        <f>11787</f>
        <v>11787</v>
      </c>
      <c r="K45" s="69">
        <f>676+8217.5+2783+449+245+1393.55+160+476</f>
        <v>14400.05</v>
      </c>
      <c r="L45" s="198">
        <f>2018+1198.05+24+1400+781+325.5+330+550.75+190+220</f>
        <v>7037.3</v>
      </c>
      <c r="M45" s="69">
        <f>388+142+210.6+280.54+297.5+95.6+295+81.9+139.34+2590</f>
        <v>4520.4799999999996</v>
      </c>
      <c r="N45" s="69">
        <f>240</f>
        <v>240</v>
      </c>
      <c r="O45" s="69">
        <f>1434.06+86+2478.42+270+245+2590</f>
        <v>7103.48</v>
      </c>
      <c r="P45" s="69">
        <f>601.44+557.5+119+455+430+300+150</f>
        <v>2612.94</v>
      </c>
      <c r="Q45" s="69">
        <f>226.92+142.8</f>
        <v>369.72</v>
      </c>
      <c r="R45" s="69">
        <f>226.92</f>
        <v>226.92</v>
      </c>
      <c r="S45" s="102"/>
      <c r="T45" s="123">
        <f t="shared" si="14"/>
        <v>48567.229999999996</v>
      </c>
      <c r="U45" s="123">
        <f t="shared" si="2"/>
        <v>-8567.2299999999959</v>
      </c>
    </row>
    <row r="46" spans="1:21" s="51" customFormat="1" ht="12" outlineLevel="1">
      <c r="A46" s="28" t="s">
        <v>60</v>
      </c>
      <c r="B46" s="40" t="s">
        <v>186</v>
      </c>
      <c r="C46" s="41">
        <f>D46/D81</f>
        <v>6.6904847925280675E-2</v>
      </c>
      <c r="D46" s="160">
        <f t="shared" si="17"/>
        <v>1666.6666666666667</v>
      </c>
      <c r="E46" s="44">
        <v>20000</v>
      </c>
      <c r="F46" s="102"/>
      <c r="G46" s="69">
        <f>361.31+231+353</f>
        <v>945.31</v>
      </c>
      <c r="H46" s="69">
        <v>549.63</v>
      </c>
      <c r="I46" s="83">
        <v>1323</v>
      </c>
      <c r="J46" s="69">
        <f>719+3820</f>
        <v>4539</v>
      </c>
      <c r="K46" s="83">
        <f>9381.6+200</f>
        <v>9581.6</v>
      </c>
      <c r="L46" s="69">
        <f>210+440+386+141+1247</f>
        <v>2424</v>
      </c>
      <c r="M46" s="83">
        <f>156+904+40+341.2+1526+406+113.1</f>
        <v>3486.2999999999997</v>
      </c>
      <c r="N46" s="69">
        <f>1270+600+78+50</f>
        <v>1998</v>
      </c>
      <c r="O46" s="83">
        <f>658</f>
        <v>658</v>
      </c>
      <c r="P46" s="69">
        <f>50+20+3730+105+480+109+200+200+3098</f>
        <v>7992</v>
      </c>
      <c r="Q46" s="83">
        <f>5405.86+540</f>
        <v>5945.86</v>
      </c>
      <c r="R46" s="69">
        <f>199.99+130+245</f>
        <v>574.99</v>
      </c>
      <c r="S46" s="102"/>
      <c r="T46" s="123">
        <f t="shared" si="14"/>
        <v>40017.689999999995</v>
      </c>
      <c r="U46" s="123">
        <f t="shared" si="2"/>
        <v>-20017.689999999995</v>
      </c>
    </row>
    <row r="47" spans="1:21" s="51" customFormat="1" ht="12" outlineLevel="1">
      <c r="A47" s="28" t="s">
        <v>61</v>
      </c>
      <c r="B47" s="40" t="s">
        <v>197</v>
      </c>
      <c r="C47" s="41">
        <f>D47/D81</f>
        <v>0.11373824147297713</v>
      </c>
      <c r="D47" s="160">
        <f t="shared" si="17"/>
        <v>2833.3333333333335</v>
      </c>
      <c r="E47" s="44">
        <v>34000</v>
      </c>
      <c r="F47" s="102"/>
      <c r="G47" s="69"/>
      <c r="H47" s="69">
        <f>155+15190+6510</f>
        <v>21855</v>
      </c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102"/>
      <c r="T47" s="123">
        <f t="shared" si="14"/>
        <v>21855</v>
      </c>
      <c r="U47" s="123">
        <f t="shared" si="2"/>
        <v>12145</v>
      </c>
    </row>
    <row r="48" spans="1:21" s="51" customFormat="1" ht="12" outlineLevel="1">
      <c r="A48" s="28" t="s">
        <v>62</v>
      </c>
      <c r="B48" s="40" t="s">
        <v>25</v>
      </c>
      <c r="C48" s="41">
        <f>D48/D81</f>
        <v>2.0071454377584199E-2</v>
      </c>
      <c r="D48" s="160">
        <f t="shared" si="17"/>
        <v>500</v>
      </c>
      <c r="E48" s="44">
        <v>6000</v>
      </c>
      <c r="F48" s="102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102"/>
      <c r="T48" s="123">
        <f t="shared" si="14"/>
        <v>0</v>
      </c>
      <c r="U48" s="123">
        <f t="shared" si="2"/>
        <v>6000</v>
      </c>
    </row>
    <row r="49" spans="1:21" s="51" customFormat="1" ht="12" outlineLevel="1">
      <c r="A49" s="28" t="s">
        <v>63</v>
      </c>
      <c r="B49" s="64" t="s">
        <v>76</v>
      </c>
      <c r="C49" s="41">
        <f>D49/D81</f>
        <v>1.3380969585056133E-2</v>
      </c>
      <c r="D49" s="160">
        <f t="shared" si="17"/>
        <v>333.33333333333331</v>
      </c>
      <c r="E49" s="44">
        <v>4000</v>
      </c>
      <c r="F49" s="102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102"/>
      <c r="T49" s="123">
        <f t="shared" si="14"/>
        <v>0</v>
      </c>
      <c r="U49" s="123">
        <f t="shared" si="2"/>
        <v>4000</v>
      </c>
    </row>
    <row r="50" spans="1:21" s="51" customFormat="1" ht="12" outlineLevel="1">
      <c r="A50" s="28" t="s">
        <v>64</v>
      </c>
      <c r="B50" s="234" t="s">
        <v>196</v>
      </c>
      <c r="C50" s="41">
        <f>D50/D81</f>
        <v>0.1505359078318815</v>
      </c>
      <c r="D50" s="160">
        <f>E50/12</f>
        <v>3750</v>
      </c>
      <c r="E50" s="184">
        <v>45000</v>
      </c>
      <c r="F50" s="128"/>
      <c r="G50" s="69">
        <f>6534+298.95+307+40</f>
        <v>7179.95</v>
      </c>
      <c r="H50" s="69">
        <f>300</f>
        <v>300</v>
      </c>
      <c r="I50" s="69">
        <v>2690</v>
      </c>
      <c r="J50" s="69">
        <v>286.89999999999998</v>
      </c>
      <c r="K50" s="69">
        <f>588+250+575+1829</f>
        <v>3242</v>
      </c>
      <c r="L50" s="69">
        <f>600+210+264+90</f>
        <v>1164</v>
      </c>
      <c r="M50" s="69">
        <f>10678.59+626.61+150+754+2606</f>
        <v>14815.2</v>
      </c>
      <c r="N50" s="69">
        <f>390+84+450+4967</f>
        <v>5891</v>
      </c>
      <c r="O50" s="90">
        <f>187.5+180</f>
        <v>367.5</v>
      </c>
      <c r="P50" s="69">
        <v>15460</v>
      </c>
      <c r="Q50" s="90">
        <f>25243.25</f>
        <v>25243.25</v>
      </c>
      <c r="R50" s="69">
        <f>682.1+5680.75</f>
        <v>6362.85</v>
      </c>
      <c r="S50" s="128"/>
      <c r="T50" s="123">
        <f t="shared" si="14"/>
        <v>83002.650000000009</v>
      </c>
      <c r="U50" s="123">
        <f t="shared" si="2"/>
        <v>-38002.650000000009</v>
      </c>
    </row>
    <row r="51" spans="1:21" s="51" customFormat="1" outlineLevel="1" thickBot="1">
      <c r="A51" s="149" t="s">
        <v>65</v>
      </c>
      <c r="B51" s="150" t="s">
        <v>198</v>
      </c>
      <c r="C51" s="142">
        <f>D51/D81</f>
        <v>2.0071454377584199E-2</v>
      </c>
      <c r="D51" s="166">
        <f>E51/12</f>
        <v>500</v>
      </c>
      <c r="E51" s="79">
        <v>6000</v>
      </c>
      <c r="F51" s="102"/>
      <c r="G51" s="69"/>
      <c r="H51" s="69">
        <v>3500</v>
      </c>
      <c r="I51" s="69"/>
      <c r="J51" s="69"/>
      <c r="K51" s="69"/>
      <c r="L51" s="69">
        <f>3600</f>
        <v>3600</v>
      </c>
      <c r="M51" s="69"/>
      <c r="N51" s="69"/>
      <c r="O51" s="69"/>
      <c r="P51" s="69"/>
      <c r="Q51" s="69">
        <v>7300</v>
      </c>
      <c r="R51" s="69"/>
      <c r="S51" s="102"/>
      <c r="T51" s="123">
        <f t="shared" si="14"/>
        <v>14400</v>
      </c>
      <c r="U51" s="123">
        <f t="shared" si="2"/>
        <v>-8400</v>
      </c>
    </row>
    <row r="52" spans="1:21">
      <c r="A52" s="24" t="s">
        <v>113</v>
      </c>
      <c r="B52" s="145" t="s">
        <v>127</v>
      </c>
      <c r="C52" s="151">
        <f>D52/D81</f>
        <v>2.1088408066048467</v>
      </c>
      <c r="D52" s="167">
        <f t="shared" si="17"/>
        <v>52533.333333333336</v>
      </c>
      <c r="E52" s="174">
        <f t="shared" ref="E52:S52" si="20">SUM(E53:E67)</f>
        <v>630400</v>
      </c>
      <c r="F52" s="103">
        <f t="shared" ref="F52" si="21">SUM(F53:F67)</f>
        <v>1500</v>
      </c>
      <c r="G52" s="67">
        <f t="shared" si="20"/>
        <v>38436</v>
      </c>
      <c r="H52" s="67">
        <f t="shared" si="20"/>
        <v>12460</v>
      </c>
      <c r="I52" s="67">
        <f t="shared" si="20"/>
        <v>5200</v>
      </c>
      <c r="J52" s="67">
        <f t="shared" si="20"/>
        <v>43178</v>
      </c>
      <c r="K52" s="82">
        <f t="shared" si="20"/>
        <v>21250</v>
      </c>
      <c r="L52" s="67">
        <f t="shared" si="20"/>
        <v>48948</v>
      </c>
      <c r="M52" s="67">
        <f t="shared" si="20"/>
        <v>25700</v>
      </c>
      <c r="N52" s="67">
        <f t="shared" si="20"/>
        <v>44590</v>
      </c>
      <c r="O52" s="67">
        <f t="shared" si="20"/>
        <v>174136</v>
      </c>
      <c r="P52" s="67">
        <f t="shared" si="20"/>
        <v>10094</v>
      </c>
      <c r="Q52" s="67">
        <f t="shared" si="20"/>
        <v>700</v>
      </c>
      <c r="R52" s="67">
        <f t="shared" si="20"/>
        <v>7950</v>
      </c>
      <c r="S52" s="103">
        <f t="shared" si="20"/>
        <v>5300</v>
      </c>
      <c r="T52" s="140">
        <f t="shared" si="14"/>
        <v>437942</v>
      </c>
      <c r="U52" s="140">
        <f t="shared" si="2"/>
        <v>192458</v>
      </c>
    </row>
    <row r="53" spans="1:21" s="51" customFormat="1" ht="12" outlineLevel="1">
      <c r="A53" s="28" t="s">
        <v>143</v>
      </c>
      <c r="B53" s="146" t="s">
        <v>200</v>
      </c>
      <c r="C53" s="129">
        <f>D53/D81</f>
        <v>6.6904847925280675E-2</v>
      </c>
      <c r="D53" s="165">
        <f t="shared" si="17"/>
        <v>1666.6666666666667</v>
      </c>
      <c r="E53" s="175">
        <v>20000</v>
      </c>
      <c r="F53" s="102"/>
      <c r="G53" s="69"/>
      <c r="H53" s="69"/>
      <c r="I53" s="69"/>
      <c r="J53" s="69"/>
      <c r="K53" s="115"/>
      <c r="L53" s="69">
        <f>31112+980</f>
        <v>32092</v>
      </c>
      <c r="M53" s="69"/>
      <c r="N53" s="69">
        <v>11112</v>
      </c>
      <c r="O53" s="115">
        <f>2590</f>
        <v>2590</v>
      </c>
      <c r="P53" s="69">
        <v>8344</v>
      </c>
      <c r="Q53" s="69"/>
      <c r="R53" s="69"/>
      <c r="S53" s="102"/>
      <c r="T53" s="123">
        <f t="shared" si="14"/>
        <v>54138</v>
      </c>
      <c r="U53" s="123">
        <f t="shared" si="2"/>
        <v>-34138</v>
      </c>
    </row>
    <row r="54" spans="1:21" s="51" customFormat="1" ht="12" outlineLevel="1">
      <c r="A54" s="28" t="s">
        <v>144</v>
      </c>
      <c r="B54" s="147" t="s">
        <v>199</v>
      </c>
      <c r="C54" s="129">
        <f>D54/D81</f>
        <v>0.200714543775842</v>
      </c>
      <c r="D54" s="165">
        <f t="shared" si="17"/>
        <v>5000</v>
      </c>
      <c r="E54" s="185">
        <v>60000</v>
      </c>
      <c r="F54" s="102"/>
      <c r="G54" s="69"/>
      <c r="H54" s="69"/>
      <c r="I54" s="69"/>
      <c r="J54" s="69"/>
      <c r="K54" s="69"/>
      <c r="L54" s="69"/>
      <c r="M54" s="69">
        <v>25000</v>
      </c>
      <c r="N54" s="69">
        <v>25000</v>
      </c>
      <c r="O54" s="69">
        <f>100000+46347</f>
        <v>146347</v>
      </c>
      <c r="P54" s="69"/>
      <c r="Q54" s="69"/>
      <c r="R54" s="69"/>
      <c r="S54" s="102"/>
      <c r="T54" s="123">
        <f t="shared" si="14"/>
        <v>196347</v>
      </c>
      <c r="U54" s="123">
        <f t="shared" si="2"/>
        <v>-136347</v>
      </c>
    </row>
    <row r="55" spans="1:21" s="51" customFormat="1" ht="12" outlineLevel="1">
      <c r="A55" s="28" t="s">
        <v>145</v>
      </c>
      <c r="B55" s="193" t="s">
        <v>193</v>
      </c>
      <c r="C55" s="129">
        <f>D55/D81</f>
        <v>0.16057163502067359</v>
      </c>
      <c r="D55" s="165">
        <f t="shared" si="17"/>
        <v>4000</v>
      </c>
      <c r="E55" s="185">
        <v>48000</v>
      </c>
      <c r="F55" s="102"/>
      <c r="G55" s="69"/>
      <c r="H55" s="69"/>
      <c r="I55" s="69"/>
      <c r="J55" s="69">
        <v>35000</v>
      </c>
      <c r="K55" s="69">
        <v>14000</v>
      </c>
      <c r="L55" s="69"/>
      <c r="M55" s="69"/>
      <c r="N55" s="69"/>
      <c r="O55" s="69"/>
      <c r="P55" s="69"/>
      <c r="Q55" s="69"/>
      <c r="R55" s="69"/>
      <c r="S55" s="102"/>
      <c r="T55" s="123">
        <f t="shared" si="14"/>
        <v>49000</v>
      </c>
      <c r="U55" s="123">
        <f t="shared" si="2"/>
        <v>-1000</v>
      </c>
    </row>
    <row r="56" spans="1:21" s="51" customFormat="1" ht="12" outlineLevel="1">
      <c r="A56" s="28" t="s">
        <v>146</v>
      </c>
      <c r="B56" s="146" t="s">
        <v>125</v>
      </c>
      <c r="C56" s="129">
        <f>D56/D81</f>
        <v>4.0142908755168398E-2</v>
      </c>
      <c r="D56" s="165">
        <f t="shared" si="17"/>
        <v>1000</v>
      </c>
      <c r="E56" s="175">
        <v>12000</v>
      </c>
      <c r="F56" s="102"/>
      <c r="G56" s="69"/>
      <c r="H56" s="69"/>
      <c r="I56" s="69"/>
      <c r="J56" s="69"/>
      <c r="K56" s="69"/>
      <c r="L56" s="69">
        <v>15556</v>
      </c>
      <c r="M56" s="69"/>
      <c r="N56" s="69">
        <v>7778</v>
      </c>
      <c r="O56" s="69"/>
      <c r="P56" s="69"/>
      <c r="Q56" s="69"/>
      <c r="R56" s="69"/>
      <c r="S56" s="102"/>
      <c r="T56" s="123">
        <f t="shared" si="14"/>
        <v>23334</v>
      </c>
      <c r="U56" s="123">
        <f t="shared" si="2"/>
        <v>-11334</v>
      </c>
    </row>
    <row r="57" spans="1:21" s="51" customFormat="1" ht="12" outlineLevel="1">
      <c r="A57" s="28" t="s">
        <v>147</v>
      </c>
      <c r="B57" s="147" t="s">
        <v>201</v>
      </c>
      <c r="C57" s="129">
        <f>D57/D81</f>
        <v>2.0071454377584199E-2</v>
      </c>
      <c r="D57" s="165">
        <f t="shared" si="17"/>
        <v>500</v>
      </c>
      <c r="E57" s="175">
        <v>6000</v>
      </c>
      <c r="F57" s="102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102"/>
      <c r="T57" s="123">
        <f t="shared" si="14"/>
        <v>0</v>
      </c>
      <c r="U57" s="123">
        <f t="shared" si="2"/>
        <v>6000</v>
      </c>
    </row>
    <row r="58" spans="1:21" s="51" customFormat="1" ht="12" outlineLevel="1">
      <c r="A58" s="28" t="s">
        <v>148</v>
      </c>
      <c r="B58" s="124" t="s">
        <v>128</v>
      </c>
      <c r="C58" s="129">
        <f>D58/D81</f>
        <v>0.1204287262655052</v>
      </c>
      <c r="D58" s="165">
        <f t="shared" si="17"/>
        <v>3000</v>
      </c>
      <c r="E58" s="185">
        <v>36000</v>
      </c>
      <c r="F58" s="102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102"/>
      <c r="T58" s="123">
        <f t="shared" si="14"/>
        <v>0</v>
      </c>
      <c r="U58" s="123">
        <f t="shared" si="2"/>
        <v>36000</v>
      </c>
    </row>
    <row r="59" spans="1:21" s="51" customFormat="1" ht="12" outlineLevel="1">
      <c r="A59" s="28" t="s">
        <v>149</v>
      </c>
      <c r="B59" s="146" t="s">
        <v>74</v>
      </c>
      <c r="C59" s="129">
        <f>D59/D81</f>
        <v>1.3380969585056133E-2</v>
      </c>
      <c r="D59" s="165">
        <f t="shared" si="17"/>
        <v>333.33333333333331</v>
      </c>
      <c r="E59" s="175">
        <v>4000</v>
      </c>
      <c r="F59" s="102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>
        <v>5000</v>
      </c>
      <c r="S59" s="102"/>
      <c r="T59" s="123">
        <f t="shared" si="14"/>
        <v>5000</v>
      </c>
      <c r="U59" s="123">
        <f t="shared" si="2"/>
        <v>-1000</v>
      </c>
    </row>
    <row r="60" spans="1:21" s="51" customFormat="1" ht="12" outlineLevel="1">
      <c r="A60" s="28" t="s">
        <v>150</v>
      </c>
      <c r="B60" s="147" t="s">
        <v>98</v>
      </c>
      <c r="C60" s="129">
        <f>D60/D81</f>
        <v>2.8100036128617879E-2</v>
      </c>
      <c r="D60" s="165">
        <f t="shared" si="17"/>
        <v>700</v>
      </c>
      <c r="E60" s="175">
        <v>8400</v>
      </c>
      <c r="F60" s="102">
        <v>700</v>
      </c>
      <c r="G60" s="69"/>
      <c r="H60" s="69">
        <v>700</v>
      </c>
      <c r="I60" s="69">
        <v>700</v>
      </c>
      <c r="J60" s="69">
        <v>700</v>
      </c>
      <c r="K60" s="69">
        <v>700</v>
      </c>
      <c r="L60" s="69">
        <v>700</v>
      </c>
      <c r="M60" s="69">
        <v>700</v>
      </c>
      <c r="N60" s="69">
        <v>700</v>
      </c>
      <c r="O60" s="69">
        <v>700</v>
      </c>
      <c r="P60" s="69">
        <v>700</v>
      </c>
      <c r="Q60" s="69">
        <v>700</v>
      </c>
      <c r="R60" s="69"/>
      <c r="S60" s="102"/>
      <c r="T60" s="123">
        <f t="shared" si="14"/>
        <v>7000</v>
      </c>
      <c r="U60" s="123">
        <f t="shared" si="2"/>
        <v>1400</v>
      </c>
    </row>
    <row r="61" spans="1:21" s="51" customFormat="1" ht="12" outlineLevel="1">
      <c r="A61" s="28" t="s">
        <v>151</v>
      </c>
      <c r="B61" s="146" t="s">
        <v>204</v>
      </c>
      <c r="C61" s="129">
        <f>D61/D81</f>
        <v>0.200714543775842</v>
      </c>
      <c r="D61" s="165">
        <f t="shared" si="17"/>
        <v>5000</v>
      </c>
      <c r="E61" s="185">
        <v>60000</v>
      </c>
      <c r="F61" s="102">
        <v>800</v>
      </c>
      <c r="G61" s="69">
        <v>38436</v>
      </c>
      <c r="H61" s="69">
        <f>3030+8730</f>
        <v>11760</v>
      </c>
      <c r="I61" s="69">
        <v>4500</v>
      </c>
      <c r="J61" s="69">
        <v>2100</v>
      </c>
      <c r="K61" s="69"/>
      <c r="L61" s="69">
        <v>600</v>
      </c>
      <c r="M61" s="69"/>
      <c r="N61" s="115"/>
      <c r="O61" s="69">
        <v>3259</v>
      </c>
      <c r="P61" s="69">
        <v>1050</v>
      </c>
      <c r="Q61" s="69"/>
      <c r="R61" s="69"/>
      <c r="S61" s="102">
        <v>5300</v>
      </c>
      <c r="T61" s="123">
        <f t="shared" si="14"/>
        <v>67005</v>
      </c>
      <c r="U61" s="123">
        <f t="shared" si="2"/>
        <v>-7005</v>
      </c>
    </row>
    <row r="62" spans="1:21" s="51" customFormat="1" ht="12" outlineLevel="1">
      <c r="A62" s="28" t="s">
        <v>152</v>
      </c>
      <c r="B62" s="146" t="s">
        <v>205</v>
      </c>
      <c r="C62" s="129">
        <f>D62/D81</f>
        <v>8.0285817510336796E-2</v>
      </c>
      <c r="D62" s="165">
        <f t="shared" si="17"/>
        <v>2000</v>
      </c>
      <c r="E62" s="175">
        <v>24000</v>
      </c>
      <c r="F62" s="102"/>
      <c r="G62" s="69"/>
      <c r="H62" s="69"/>
      <c r="I62" s="69"/>
      <c r="J62" s="69"/>
      <c r="K62" s="69">
        <v>4100</v>
      </c>
      <c r="L62" s="69"/>
      <c r="M62" s="69"/>
      <c r="N62" s="69"/>
      <c r="O62" s="69">
        <v>21240</v>
      </c>
      <c r="P62" s="69"/>
      <c r="Q62" s="69"/>
      <c r="R62" s="69"/>
      <c r="S62" s="102"/>
      <c r="T62" s="123">
        <f t="shared" si="14"/>
        <v>25340</v>
      </c>
      <c r="U62" s="123">
        <f t="shared" si="2"/>
        <v>-1340</v>
      </c>
    </row>
    <row r="63" spans="1:21" s="51" customFormat="1" ht="12" outlineLevel="1">
      <c r="A63" s="28" t="s">
        <v>153</v>
      </c>
      <c r="B63" s="152" t="s">
        <v>206</v>
      </c>
      <c r="C63" s="129">
        <f>D63/D81</f>
        <v>2.0071454377584199E-2</v>
      </c>
      <c r="D63" s="168">
        <f t="shared" ref="D63:D66" si="22">E63/12</f>
        <v>500</v>
      </c>
      <c r="E63" s="176">
        <v>6000</v>
      </c>
      <c r="F63" s="102"/>
      <c r="G63" s="69"/>
      <c r="H63" s="69"/>
      <c r="I63" s="69"/>
      <c r="J63" s="69">
        <f>2778+2600</f>
        <v>5378</v>
      </c>
      <c r="K63" s="69">
        <v>2450</v>
      </c>
      <c r="L63" s="69"/>
      <c r="M63" s="69"/>
      <c r="N63" s="69"/>
      <c r="O63" s="69"/>
      <c r="P63" s="69"/>
      <c r="Q63" s="69"/>
      <c r="R63" s="69"/>
      <c r="S63" s="102"/>
      <c r="T63" s="123">
        <f t="shared" si="14"/>
        <v>7828</v>
      </c>
      <c r="U63" s="123">
        <f t="shared" si="2"/>
        <v>-1828</v>
      </c>
    </row>
    <row r="64" spans="1:21" s="51" customFormat="1" ht="12" outlineLevel="1">
      <c r="A64" s="28" t="s">
        <v>154</v>
      </c>
      <c r="B64" s="148" t="s">
        <v>86</v>
      </c>
      <c r="C64" s="129">
        <f>D64/D81</f>
        <v>0.100357271887921</v>
      </c>
      <c r="D64" s="168">
        <f t="shared" si="22"/>
        <v>2500</v>
      </c>
      <c r="E64" s="176">
        <v>30000</v>
      </c>
      <c r="F64" s="117"/>
      <c r="G64" s="90"/>
      <c r="H64" s="87"/>
      <c r="I64" s="69"/>
      <c r="J64" s="90"/>
      <c r="K64" s="90"/>
      <c r="L64" s="90"/>
      <c r="M64" s="90"/>
      <c r="N64" s="90"/>
      <c r="O64" s="90"/>
      <c r="P64" s="90"/>
      <c r="Q64" s="90"/>
      <c r="R64" s="90">
        <v>2950</v>
      </c>
      <c r="S64" s="117"/>
      <c r="T64" s="123">
        <f t="shared" si="14"/>
        <v>2950</v>
      </c>
      <c r="U64" s="123">
        <f t="shared" si="2"/>
        <v>27050</v>
      </c>
    </row>
    <row r="65" spans="1:21" s="51" customFormat="1" ht="12" outlineLevel="1">
      <c r="A65" s="28" t="s">
        <v>155</v>
      </c>
      <c r="B65" s="143" t="s">
        <v>24</v>
      </c>
      <c r="C65" s="129">
        <f>D65/D81</f>
        <v>1.3380969585056133E-2</v>
      </c>
      <c r="D65" s="169">
        <f t="shared" si="22"/>
        <v>333.33333333333331</v>
      </c>
      <c r="E65" s="177">
        <v>4000</v>
      </c>
      <c r="F65" s="102"/>
      <c r="G65" s="69"/>
      <c r="H65" s="115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102"/>
      <c r="T65" s="123">
        <f t="shared" si="14"/>
        <v>0</v>
      </c>
      <c r="U65" s="123">
        <f t="shared" si="2"/>
        <v>4000</v>
      </c>
    </row>
    <row r="66" spans="1:21" s="51" customFormat="1" ht="12" outlineLevel="1">
      <c r="A66" s="178" t="s">
        <v>156</v>
      </c>
      <c r="B66" s="173" t="s">
        <v>184</v>
      </c>
      <c r="C66" s="129">
        <f>D66/D81</f>
        <v>4.0142908755168398E-2</v>
      </c>
      <c r="D66" s="169">
        <f t="shared" si="22"/>
        <v>1000</v>
      </c>
      <c r="E66" s="172">
        <v>12000</v>
      </c>
      <c r="F66" s="128"/>
      <c r="G66" s="69"/>
      <c r="H66" s="69"/>
      <c r="I66" s="69"/>
      <c r="J66" s="69"/>
      <c r="K66" s="69"/>
      <c r="L66" s="87"/>
      <c r="M66" s="69"/>
      <c r="N66" s="69"/>
      <c r="O66" s="87"/>
      <c r="P66" s="69"/>
      <c r="Q66" s="69"/>
      <c r="R66" s="87"/>
      <c r="S66" s="128"/>
      <c r="T66" s="123">
        <f t="shared" si="14"/>
        <v>0</v>
      </c>
      <c r="U66" s="123">
        <f t="shared" si="2"/>
        <v>12000</v>
      </c>
    </row>
    <row r="67" spans="1:21" s="51" customFormat="1" outlineLevel="1" thickBot="1">
      <c r="A67" s="179" t="s">
        <v>157</v>
      </c>
      <c r="B67" s="187" t="s">
        <v>185</v>
      </c>
      <c r="C67" s="180">
        <f>D67/D81</f>
        <v>1.0035727188792101</v>
      </c>
      <c r="D67" s="181">
        <f t="shared" si="17"/>
        <v>25000</v>
      </c>
      <c r="E67" s="186">
        <v>300000</v>
      </c>
      <c r="F67" s="235"/>
      <c r="G67" s="90"/>
      <c r="H67" s="90"/>
      <c r="I67" s="90"/>
      <c r="J67" s="90"/>
      <c r="K67" s="90"/>
      <c r="L67" s="88"/>
      <c r="M67" s="90"/>
      <c r="N67" s="90"/>
      <c r="O67" s="88"/>
      <c r="P67" s="90"/>
      <c r="Q67" s="90"/>
      <c r="R67" s="88"/>
      <c r="S67" s="235"/>
      <c r="T67" s="138">
        <f t="shared" si="14"/>
        <v>0</v>
      </c>
      <c r="U67" s="123">
        <f t="shared" si="2"/>
        <v>300000</v>
      </c>
    </row>
    <row r="68" spans="1:21" ht="13.5" thickBot="1">
      <c r="A68" s="23">
        <v>13</v>
      </c>
      <c r="B68" s="6" t="s">
        <v>26</v>
      </c>
      <c r="C68" s="33">
        <f>D68/D81</f>
        <v>4.2367494948683984E-2</v>
      </c>
      <c r="D68" s="158">
        <f t="shared" si="17"/>
        <v>1055.4166666666667</v>
      </c>
      <c r="E68" s="60">
        <v>12665</v>
      </c>
      <c r="F68" s="236"/>
      <c r="G68" s="85"/>
      <c r="H68" s="85"/>
      <c r="I68" s="85"/>
      <c r="J68" s="85"/>
      <c r="K68" s="85"/>
      <c r="L68" s="85">
        <v>1080</v>
      </c>
      <c r="M68" s="85"/>
      <c r="N68" s="85">
        <f>43280</f>
        <v>43280</v>
      </c>
      <c r="O68" s="85"/>
      <c r="P68" s="237">
        <v>37000</v>
      </c>
      <c r="Q68" s="85">
        <f>18590</f>
        <v>18590</v>
      </c>
      <c r="R68" s="85"/>
      <c r="S68" s="120"/>
      <c r="T68" s="141">
        <f t="shared" si="14"/>
        <v>99950</v>
      </c>
      <c r="U68" s="136">
        <f>E68-T68</f>
        <v>-87285</v>
      </c>
    </row>
    <row r="69" spans="1:21">
      <c r="A69" s="199">
        <v>14</v>
      </c>
      <c r="B69" s="200" t="s">
        <v>119</v>
      </c>
      <c r="C69" s="201">
        <f>D69/D81</f>
        <v>-2.7602598584293414</v>
      </c>
      <c r="D69" s="202">
        <f t="shared" si="17"/>
        <v>-68760.833333333328</v>
      </c>
      <c r="E69" s="203">
        <f>SUM(E70:E76)</f>
        <v>-825130</v>
      </c>
      <c r="F69" s="204">
        <f>SUM(F70:F76)</f>
        <v>4500</v>
      </c>
      <c r="G69" s="205">
        <f>SUM(G70:G76)</f>
        <v>158586.39000000001</v>
      </c>
      <c r="H69" s="206">
        <f>SUM(H70:H76)</f>
        <v>5748.78</v>
      </c>
      <c r="I69" s="205">
        <f t="shared" ref="I69:S69" si="23">SUM(I70:I76)</f>
        <v>135598.23000000001</v>
      </c>
      <c r="J69" s="206">
        <f t="shared" si="23"/>
        <v>66857.83</v>
      </c>
      <c r="K69" s="205">
        <f t="shared" si="23"/>
        <v>11211.6</v>
      </c>
      <c r="L69" s="206">
        <f t="shared" si="23"/>
        <v>131207.67999999999</v>
      </c>
      <c r="M69" s="205">
        <f t="shared" si="23"/>
        <v>55575.67</v>
      </c>
      <c r="N69" s="206">
        <f t="shared" si="23"/>
        <v>5534.4400000000005</v>
      </c>
      <c r="O69" s="205">
        <f t="shared" si="23"/>
        <v>128603.5</v>
      </c>
      <c r="P69" s="206">
        <f t="shared" si="23"/>
        <v>66230.64</v>
      </c>
      <c r="Q69" s="205">
        <f t="shared" si="23"/>
        <v>10252.959999999999</v>
      </c>
      <c r="R69" s="206">
        <f t="shared" si="23"/>
        <v>11546.7</v>
      </c>
      <c r="S69" s="205">
        <f t="shared" si="23"/>
        <v>3000</v>
      </c>
      <c r="T69" s="171">
        <f>-SUM(G69:S69)</f>
        <v>-789954.41999999993</v>
      </c>
      <c r="U69" s="171">
        <f>E69-T69</f>
        <v>-35175.580000000075</v>
      </c>
    </row>
    <row r="70" spans="1:21" outlineLevel="1">
      <c r="A70" s="207" t="s">
        <v>169</v>
      </c>
      <c r="B70" s="208" t="s">
        <v>173</v>
      </c>
      <c r="C70" s="209">
        <f>D70/D81</f>
        <v>-1.5764120268154631</v>
      </c>
      <c r="D70" s="210">
        <f t="shared" ref="D70:D76" si="24">E70/12</f>
        <v>-39270</v>
      </c>
      <c r="E70" s="211">
        <v>-471240</v>
      </c>
      <c r="F70" s="212"/>
      <c r="G70" s="212">
        <v>117810</v>
      </c>
      <c r="H70" s="213"/>
      <c r="I70" s="214">
        <v>117810</v>
      </c>
      <c r="J70" s="213"/>
      <c r="K70" s="213"/>
      <c r="L70" s="213">
        <v>117810</v>
      </c>
      <c r="M70" s="213"/>
      <c r="N70" s="213"/>
      <c r="O70" s="213">
        <v>117810</v>
      </c>
      <c r="P70" s="213"/>
      <c r="Q70" s="213"/>
      <c r="R70" s="213"/>
      <c r="S70" s="214"/>
      <c r="T70" s="170">
        <f>SUM(G70:S70)</f>
        <v>471240</v>
      </c>
      <c r="U70" s="170">
        <f>-E70-T70</f>
        <v>0</v>
      </c>
    </row>
    <row r="71" spans="1:21" outlineLevel="1">
      <c r="A71" s="215" t="s">
        <v>170</v>
      </c>
      <c r="B71" s="192" t="s">
        <v>174</v>
      </c>
      <c r="C71" s="216">
        <f>D71/D81</f>
        <v>-0.58839468507888082</v>
      </c>
      <c r="D71" s="217">
        <f t="shared" si="24"/>
        <v>-14657.5</v>
      </c>
      <c r="E71" s="218">
        <v>-175890</v>
      </c>
      <c r="F71" s="219"/>
      <c r="G71" s="182">
        <v>35178</v>
      </c>
      <c r="H71" s="182"/>
      <c r="I71" s="182"/>
      <c r="J71" s="182">
        <v>52767</v>
      </c>
      <c r="K71" s="182"/>
      <c r="L71" s="182"/>
      <c r="M71" s="182">
        <v>52767</v>
      </c>
      <c r="N71" s="182"/>
      <c r="O71" s="182"/>
      <c r="P71" s="182">
        <v>52767</v>
      </c>
      <c r="Q71" s="182"/>
      <c r="R71" s="182"/>
      <c r="S71" s="183"/>
      <c r="T71" s="154">
        <f>SUM(G71:S71)</f>
        <v>193479</v>
      </c>
      <c r="U71" s="154">
        <f>-E71-T71</f>
        <v>-17589</v>
      </c>
    </row>
    <row r="72" spans="1:21" outlineLevel="1">
      <c r="A72" s="215" t="s">
        <v>171</v>
      </c>
      <c r="B72" s="192" t="s">
        <v>208</v>
      </c>
      <c r="C72" s="216">
        <f>D72/D81</f>
        <v>-0.18064308939825779</v>
      </c>
      <c r="D72" s="217">
        <f t="shared" si="24"/>
        <v>-4500</v>
      </c>
      <c r="E72" s="218">
        <v>-54000</v>
      </c>
      <c r="F72" s="219">
        <v>3000</v>
      </c>
      <c r="G72" s="182"/>
      <c r="H72" s="182"/>
      <c r="I72" s="182"/>
      <c r="J72" s="182">
        <v>9000</v>
      </c>
      <c r="K72" s="182">
        <f>3000+3000</f>
        <v>6000</v>
      </c>
      <c r="L72" s="182"/>
      <c r="M72" s="182"/>
      <c r="N72" s="182"/>
      <c r="O72" s="182"/>
      <c r="P72" s="182">
        <f>3000+6000</f>
        <v>9000</v>
      </c>
      <c r="Q72" s="182">
        <f>3000+3000+3000</f>
        <v>9000</v>
      </c>
      <c r="R72" s="182"/>
      <c r="S72" s="183"/>
      <c r="T72" s="170">
        <f t="shared" ref="T72:T76" si="25">SUM(G72:S72)</f>
        <v>33000</v>
      </c>
      <c r="U72" s="170">
        <f t="shared" ref="U72:U76" si="26">-E72-T72</f>
        <v>21000</v>
      </c>
    </row>
    <row r="73" spans="1:21" outlineLevel="1">
      <c r="A73" s="215" t="s">
        <v>172</v>
      </c>
      <c r="B73" s="192" t="s">
        <v>175</v>
      </c>
      <c r="C73" s="216">
        <f>D73/D81</f>
        <v>-0.1204287262655052</v>
      </c>
      <c r="D73" s="217">
        <f t="shared" si="24"/>
        <v>-3000</v>
      </c>
      <c r="E73" s="218">
        <v>-36000</v>
      </c>
      <c r="F73" s="219"/>
      <c r="G73" s="182"/>
      <c r="H73" s="182"/>
      <c r="I73" s="182">
        <v>9000</v>
      </c>
      <c r="J73" s="182"/>
      <c r="K73" s="182"/>
      <c r="L73" s="182">
        <v>9000</v>
      </c>
      <c r="M73" s="182"/>
      <c r="N73" s="182"/>
      <c r="O73" s="182">
        <v>9000</v>
      </c>
      <c r="P73" s="182"/>
      <c r="Q73" s="182"/>
      <c r="R73" s="182">
        <v>9000</v>
      </c>
      <c r="S73" s="183"/>
      <c r="T73" s="154">
        <f t="shared" si="25"/>
        <v>36000</v>
      </c>
      <c r="U73" s="154">
        <f t="shared" si="26"/>
        <v>0</v>
      </c>
    </row>
    <row r="74" spans="1:21" outlineLevel="1">
      <c r="A74" s="215" t="s">
        <v>177</v>
      </c>
      <c r="B74" s="192" t="s">
        <v>176</v>
      </c>
      <c r="C74" s="216">
        <f>D74/D81</f>
        <v>-6.02143631327526E-2</v>
      </c>
      <c r="D74" s="217">
        <f t="shared" si="24"/>
        <v>-1500</v>
      </c>
      <c r="E74" s="218">
        <v>-18000</v>
      </c>
      <c r="F74" s="183">
        <v>1500</v>
      </c>
      <c r="G74" s="182"/>
      <c r="H74" s="182"/>
      <c r="I74" s="182">
        <f>1500+1500</f>
        <v>3000</v>
      </c>
      <c r="J74" s="182">
        <v>1500</v>
      </c>
      <c r="K74" s="182">
        <v>1500</v>
      </c>
      <c r="L74" s="182">
        <v>1500</v>
      </c>
      <c r="M74" s="182"/>
      <c r="N74" s="182">
        <f>1500*2</f>
        <v>3000</v>
      </c>
      <c r="O74" s="182"/>
      <c r="P74" s="182">
        <v>3000</v>
      </c>
      <c r="Q74" s="182"/>
      <c r="R74" s="182">
        <v>1500</v>
      </c>
      <c r="S74" s="183">
        <v>3000</v>
      </c>
      <c r="T74" s="170">
        <f t="shared" si="25"/>
        <v>18000</v>
      </c>
      <c r="U74" s="170">
        <f t="shared" si="26"/>
        <v>0</v>
      </c>
    </row>
    <row r="75" spans="1:21" outlineLevel="1">
      <c r="A75" s="215" t="s">
        <v>178</v>
      </c>
      <c r="B75" s="192" t="s">
        <v>181</v>
      </c>
      <c r="C75" s="216">
        <f>D75/D81</f>
        <v>-0.23416696773848231</v>
      </c>
      <c r="D75" s="217">
        <f t="shared" si="24"/>
        <v>-5833.333333333333</v>
      </c>
      <c r="E75" s="218">
        <v>-70000</v>
      </c>
      <c r="F75" s="219"/>
      <c r="G75" s="182">
        <v>5598.39</v>
      </c>
      <c r="H75" s="182">
        <v>5748.78</v>
      </c>
      <c r="I75" s="182">
        <v>5788.23</v>
      </c>
      <c r="J75" s="182">
        <v>3590.83</v>
      </c>
      <c r="K75" s="182">
        <v>3711.6</v>
      </c>
      <c r="L75" s="182">
        <v>2897.68</v>
      </c>
      <c r="M75" s="182">
        <v>2808.67</v>
      </c>
      <c r="N75" s="182">
        <v>2534.44</v>
      </c>
      <c r="O75" s="182">
        <v>1793.5</v>
      </c>
      <c r="P75" s="182">
        <v>1463.64</v>
      </c>
      <c r="Q75" s="182">
        <v>1252.96</v>
      </c>
      <c r="R75" s="182">
        <v>1046.7</v>
      </c>
      <c r="S75" s="183"/>
      <c r="T75" s="154">
        <f t="shared" si="25"/>
        <v>38235.419999999991</v>
      </c>
      <c r="U75" s="154">
        <f t="shared" si="26"/>
        <v>31764.580000000009</v>
      </c>
    </row>
    <row r="76" spans="1:21" ht="13.5" outlineLevel="1" thickBot="1">
      <c r="A76" s="220" t="s">
        <v>180</v>
      </c>
      <c r="B76" s="221" t="s">
        <v>179</v>
      </c>
      <c r="C76" s="222">
        <f>D76/D81</f>
        <v>0</v>
      </c>
      <c r="D76" s="223">
        <f t="shared" si="24"/>
        <v>0</v>
      </c>
      <c r="E76" s="224">
        <v>0</v>
      </c>
      <c r="F76" s="188"/>
      <c r="G76" s="212"/>
      <c r="H76" s="213"/>
      <c r="I76" s="214"/>
      <c r="J76" s="213"/>
      <c r="K76" s="213"/>
      <c r="L76" s="213"/>
      <c r="M76" s="213"/>
      <c r="N76" s="213"/>
      <c r="O76" s="213"/>
      <c r="P76" s="213"/>
      <c r="Q76" s="213"/>
      <c r="R76" s="213"/>
      <c r="S76" s="214"/>
      <c r="T76" s="170">
        <f t="shared" si="25"/>
        <v>0</v>
      </c>
      <c r="U76" s="170">
        <f t="shared" si="26"/>
        <v>0</v>
      </c>
    </row>
    <row r="77" spans="1:21" ht="13.5" thickBot="1">
      <c r="A77" s="155">
        <v>15</v>
      </c>
      <c r="B77" s="156" t="s">
        <v>120</v>
      </c>
      <c r="C77" s="133">
        <f>D77/D81</f>
        <v>0.100357271887921</v>
      </c>
      <c r="D77" s="157">
        <f t="shared" si="17"/>
        <v>2500</v>
      </c>
      <c r="E77" s="135">
        <v>30000</v>
      </c>
      <c r="F77" s="111">
        <v>34536</v>
      </c>
      <c r="G77" s="85"/>
      <c r="H77" s="85"/>
      <c r="I77" s="153"/>
      <c r="J77" s="85">
        <f>11442+1327.98</f>
        <v>12769.98</v>
      </c>
      <c r="K77" s="85"/>
      <c r="L77" s="85"/>
      <c r="M77" s="85">
        <v>8166</v>
      </c>
      <c r="N77" s="85"/>
      <c r="O77" s="85"/>
      <c r="P77" s="85">
        <v>7899</v>
      </c>
      <c r="Q77" s="85"/>
      <c r="R77" s="85"/>
      <c r="S77" s="111">
        <v>4304</v>
      </c>
      <c r="T77" s="136">
        <f>SUM(G77:S77)</f>
        <v>33138.979999999996</v>
      </c>
      <c r="U77" s="136">
        <f>E77-T77</f>
        <v>-3138.9799999999959</v>
      </c>
    </row>
    <row r="78" spans="1:21" ht="13.5" thickBot="1">
      <c r="A78" s="225">
        <v>16</v>
      </c>
      <c r="B78" s="226" t="s">
        <v>203</v>
      </c>
      <c r="C78" s="227">
        <f>D78/D81</f>
        <v>-3.2201303306437584E-2</v>
      </c>
      <c r="D78" s="228">
        <f t="shared" si="17"/>
        <v>-802.16666666666663</v>
      </c>
      <c r="E78" s="229">
        <v>-9626</v>
      </c>
      <c r="F78" s="230"/>
      <c r="G78" s="231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3"/>
      <c r="T78" s="121">
        <f>E78</f>
        <v>-9626</v>
      </c>
      <c r="U78" s="121">
        <f>E78-T78</f>
        <v>0</v>
      </c>
    </row>
    <row r="79" spans="1:21" ht="13.5" thickBot="1">
      <c r="A79" s="253" t="s">
        <v>27</v>
      </c>
      <c r="B79" s="254"/>
      <c r="C79" s="57">
        <f>D79/D81</f>
        <v>11.999839428364979</v>
      </c>
      <c r="D79" s="58">
        <f t="shared" si="17"/>
        <v>298928</v>
      </c>
      <c r="E79" s="246">
        <f>E5+E6+E7+E8+E9+E12+E15+E16+E23+E28+E44+E52+E68+E69+E77+E78</f>
        <v>3587136</v>
      </c>
      <c r="F79" s="106">
        <f>F5+F6+F7+F8+F9+F12+F15+F16+F23+F28+F44+F52+F68-F69+F77-F78</f>
        <v>111530.95</v>
      </c>
      <c r="G79" s="106">
        <f>G5+G6+G7+G8+G9+G12+G15+G16+G23+G28+G44+G52+G68-G69+G77-G78</f>
        <v>1763.289999999979</v>
      </c>
      <c r="H79" s="106">
        <f>H5+H6+H7+H8+H9+H12+H15+H16+H23+H28+H44+H52+H68-H69+H77-H78</f>
        <v>295499.76</v>
      </c>
      <c r="I79" s="106">
        <f>I5+I6+I7+I8+I9+I12+I15+I16+I23+I28+I44+I52+I68-I69+J77-I78</f>
        <v>162863.99</v>
      </c>
      <c r="J79" s="106">
        <f>J5+J6+J7+J8+J9+J12+J15+J16+J23+J28+J44+J52+J68-J69+K77-J78</f>
        <v>501248.91</v>
      </c>
      <c r="K79" s="106">
        <f t="shared" ref="K79:S79" si="27">K5+K6+K7+K8+K9+K12+K15+K16+K23+K28+K44+K52+K68-K69+K77-K78</f>
        <v>300794.41000000003</v>
      </c>
      <c r="L79" s="106">
        <f t="shared" si="27"/>
        <v>246644.44</v>
      </c>
      <c r="M79" s="106">
        <f t="shared" si="27"/>
        <v>402904.00999999995</v>
      </c>
      <c r="N79" s="106">
        <f t="shared" si="27"/>
        <v>404412.06000000006</v>
      </c>
      <c r="O79" s="106">
        <f t="shared" si="27"/>
        <v>318717.09999999998</v>
      </c>
      <c r="P79" s="106">
        <f t="shared" si="27"/>
        <v>296313.46999999991</v>
      </c>
      <c r="Q79" s="106">
        <f t="shared" si="27"/>
        <v>325251.69</v>
      </c>
      <c r="R79" s="106">
        <f t="shared" si="27"/>
        <v>423944.26</v>
      </c>
      <c r="S79" s="106">
        <f t="shared" si="27"/>
        <v>45884.759999999995</v>
      </c>
      <c r="T79" s="137">
        <f>T5+T6+T7+T8+T9+T12+T15+T16+T23+T28+T44+T52+T68+T69+T77+T78</f>
        <v>3716616.15</v>
      </c>
      <c r="U79" s="22">
        <f>U5+U6+U7+U8+U9+U12+U15+U16+U23+U28+U44+U52+U68+U69+U77+U78</f>
        <v>-129480.15000000013</v>
      </c>
    </row>
    <row r="80" spans="1:21" s="11" customFormat="1" ht="11.25">
      <c r="G80" s="109"/>
      <c r="H80" s="109"/>
      <c r="I80" s="109"/>
      <c r="J80" s="109"/>
      <c r="K80" s="109"/>
      <c r="R80" s="109"/>
    </row>
    <row r="81" spans="1:21">
      <c r="A81" s="110" t="s">
        <v>28</v>
      </c>
      <c r="B81" s="110"/>
      <c r="C81" s="31"/>
      <c r="D81" s="1">
        <v>24911</v>
      </c>
      <c r="E81" s="2" t="s">
        <v>29</v>
      </c>
      <c r="F81" s="107"/>
      <c r="T81" s="107"/>
    </row>
    <row r="82" spans="1:21" s="11" customFormat="1" ht="11.25">
      <c r="G82" s="108"/>
      <c r="T82" s="108">
        <f>SUM(G79:S79)+T78</f>
        <v>3716616.1499999994</v>
      </c>
      <c r="U82" s="108">
        <f>E79-T79</f>
        <v>-129480.14999999991</v>
      </c>
    </row>
    <row r="83" spans="1:21">
      <c r="A83" s="247" t="s">
        <v>202</v>
      </c>
      <c r="B83" s="247"/>
      <c r="C83" s="30"/>
      <c r="F83" s="107"/>
      <c r="G83" s="107"/>
      <c r="H83" s="107"/>
    </row>
    <row r="84" spans="1:21">
      <c r="A84" s="247" t="s">
        <v>168</v>
      </c>
      <c r="B84" s="247"/>
      <c r="C84" s="30"/>
      <c r="D84" s="32">
        <f>D79/D81</f>
        <v>11.999839428364979</v>
      </c>
      <c r="E84" s="2" t="s">
        <v>31</v>
      </c>
    </row>
    <row r="86" spans="1:21">
      <c r="B86" s="189"/>
    </row>
  </sheetData>
  <sheetProtection password="EA51" sheet="1" objects="1" scenarios="1" selectLockedCells="1" selectUnlockedCells="1"/>
  <mergeCells count="7">
    <mergeCell ref="A83:B83"/>
    <mergeCell ref="A84:B84"/>
    <mergeCell ref="F3:R3"/>
    <mergeCell ref="A1:E1"/>
    <mergeCell ref="A2:E2"/>
    <mergeCell ref="A3:E3"/>
    <mergeCell ref="A79:B79"/>
  </mergeCells>
  <phoneticPr fontId="4" type="noConversion"/>
  <pageMargins left="0.39370078740157483" right="0.19685039370078741" top="0.19685039370078741" bottom="0.19685039370078741" header="0.51181102362204722" footer="0.51181102362204722"/>
  <pageSetup paperSize="9" scale="53" firstPageNumber="0" orientation="landscape" horizontalDpi="300" verticalDpi="300" r:id="rId1"/>
  <headerFooter alignWithMargins="0"/>
  <ignoredErrors>
    <ignoredError sqref="G52:H52 T7 T17:T18 T29:T31 T33 T60 T68 T77 E52 E69" formulaRange="1"/>
    <ignoredError sqref="D79 T79" formula="1"/>
    <ignoredError sqref="A41:A43 A65" twoDigitTextYear="1"/>
    <ignoredError sqref="T69" formula="1" formulaRange="1"/>
    <ignoredError sqref="A52 A44 A28 A23 A15:A16 A1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workbookViewId="0">
      <selection activeCell="A2" sqref="A2:E2"/>
    </sheetView>
  </sheetViews>
  <sheetFormatPr defaultRowHeight="12.75"/>
  <cols>
    <col min="1" max="1" width="6.7109375" customWidth="1"/>
    <col min="2" max="2" width="76.28515625" customWidth="1"/>
    <col min="3" max="3" width="11.7109375" customWidth="1"/>
    <col min="4" max="4" width="10.28515625" customWidth="1"/>
    <col min="5" max="5" width="11.140625" customWidth="1"/>
  </cols>
  <sheetData>
    <row r="1" spans="1:5" ht="60.6" customHeight="1">
      <c r="C1" s="255" t="s">
        <v>162</v>
      </c>
      <c r="D1" s="255"/>
      <c r="E1" s="255"/>
    </row>
    <row r="2" spans="1:5">
      <c r="A2" s="251" t="s">
        <v>0</v>
      </c>
      <c r="B2" s="251"/>
      <c r="C2" s="251"/>
      <c r="D2" s="251"/>
      <c r="E2" s="251"/>
    </row>
    <row r="3" spans="1:5">
      <c r="A3" s="251" t="s">
        <v>116</v>
      </c>
      <c r="B3" s="251"/>
      <c r="C3" s="251"/>
      <c r="D3" s="251"/>
      <c r="E3" s="251"/>
    </row>
    <row r="4" spans="1:5" ht="13.5" thickBot="1">
      <c r="A4" s="252"/>
      <c r="B4" s="252"/>
      <c r="C4" s="252"/>
      <c r="D4" s="252"/>
      <c r="E4" s="252"/>
    </row>
    <row r="5" spans="1:5" ht="39" thickBot="1">
      <c r="A5" s="9" t="s">
        <v>1</v>
      </c>
      <c r="B5" s="10" t="s">
        <v>2</v>
      </c>
      <c r="C5" s="13" t="s">
        <v>161</v>
      </c>
      <c r="D5" s="13" t="s">
        <v>3</v>
      </c>
      <c r="E5" s="18" t="s">
        <v>4</v>
      </c>
    </row>
    <row r="6" spans="1:5" ht="13.5" thickBot="1">
      <c r="A6" s="23">
        <v>1</v>
      </c>
      <c r="B6" s="6" t="s">
        <v>106</v>
      </c>
      <c r="C6" s="33">
        <f>D6/D80</f>
        <v>4.2934603646293468</v>
      </c>
      <c r="D6" s="14">
        <f t="shared" ref="D6:D69" si="0">E6/12</f>
        <v>106915.75</v>
      </c>
      <c r="E6" s="60">
        <v>1282989</v>
      </c>
    </row>
    <row r="7" spans="1:5" ht="13.5" thickBot="1">
      <c r="A7" s="23">
        <v>2</v>
      </c>
      <c r="B7" s="6" t="s">
        <v>117</v>
      </c>
      <c r="C7" s="33">
        <f>D7/D80</f>
        <v>0.6812705806762509</v>
      </c>
      <c r="D7" s="14">
        <f t="shared" si="0"/>
        <v>16965</v>
      </c>
      <c r="E7" s="60">
        <v>203580</v>
      </c>
    </row>
    <row r="8" spans="1:5" ht="13.5" thickBot="1">
      <c r="A8" s="23">
        <v>3</v>
      </c>
      <c r="B8" s="6" t="s">
        <v>118</v>
      </c>
      <c r="C8" s="33">
        <f>D8/D80</f>
        <v>1.7402230075228229</v>
      </c>
      <c r="D8" s="14">
        <f t="shared" si="0"/>
        <v>43335.033333333333</v>
      </c>
      <c r="E8" s="60">
        <v>520020.4</v>
      </c>
    </row>
    <row r="9" spans="1:5" ht="13.5" thickBot="1">
      <c r="A9" s="23">
        <v>4</v>
      </c>
      <c r="B9" s="6" t="s">
        <v>105</v>
      </c>
      <c r="C9" s="33">
        <f>D9/D80</f>
        <v>0.13385805691644581</v>
      </c>
      <c r="D9" s="14">
        <f t="shared" si="0"/>
        <v>3333.3333333333335</v>
      </c>
      <c r="E9" s="60">
        <v>40000</v>
      </c>
    </row>
    <row r="10" spans="1:5">
      <c r="A10" s="127">
        <v>5</v>
      </c>
      <c r="B10" s="7" t="s">
        <v>5</v>
      </c>
      <c r="C10" s="34">
        <f>D10/D80</f>
        <v>3.0118062806200305E-2</v>
      </c>
      <c r="D10" s="15">
        <f t="shared" si="0"/>
        <v>750</v>
      </c>
      <c r="E10" s="61">
        <f>E11+E12</f>
        <v>9000</v>
      </c>
    </row>
    <row r="11" spans="1:5">
      <c r="A11" s="28" t="s">
        <v>45</v>
      </c>
      <c r="B11" s="40" t="s">
        <v>96</v>
      </c>
      <c r="C11" s="41">
        <f>D11/D80</f>
        <v>2.3425159960378018E-2</v>
      </c>
      <c r="D11" s="42">
        <f t="shared" si="0"/>
        <v>583.33333333333337</v>
      </c>
      <c r="E11" s="44">
        <v>7000</v>
      </c>
    </row>
    <row r="12" spans="1:5" ht="13.5" thickBot="1">
      <c r="A12" s="28" t="s">
        <v>46</v>
      </c>
      <c r="B12" s="47" t="s">
        <v>6</v>
      </c>
      <c r="C12" s="48">
        <f>D12/D80</f>
        <v>6.6929028458222895E-3</v>
      </c>
      <c r="D12" s="43">
        <f t="shared" si="0"/>
        <v>166.66666666666666</v>
      </c>
      <c r="E12" s="62">
        <v>2000</v>
      </c>
    </row>
    <row r="13" spans="1:5">
      <c r="A13" s="24" t="s">
        <v>107</v>
      </c>
      <c r="B13" s="7" t="s">
        <v>7</v>
      </c>
      <c r="C13" s="34">
        <f>D13/D80</f>
        <v>0.15393676545391269</v>
      </c>
      <c r="D13" s="15">
        <f t="shared" si="0"/>
        <v>3833.3333333333335</v>
      </c>
      <c r="E13" s="61">
        <f>SUM(E14:E15)</f>
        <v>46000</v>
      </c>
    </row>
    <row r="14" spans="1:5">
      <c r="A14" s="28" t="s">
        <v>131</v>
      </c>
      <c r="B14" s="64" t="s">
        <v>8</v>
      </c>
      <c r="C14" s="41">
        <f>D14/D80</f>
        <v>0.12047225122480122</v>
      </c>
      <c r="D14" s="42">
        <f t="shared" si="0"/>
        <v>3000</v>
      </c>
      <c r="E14" s="44">
        <v>36000</v>
      </c>
    </row>
    <row r="15" spans="1:5">
      <c r="A15" s="28" t="s">
        <v>132</v>
      </c>
      <c r="B15" s="40" t="s">
        <v>9</v>
      </c>
      <c r="C15" s="41">
        <f>D15/D80</f>
        <v>3.3464514229111453E-2</v>
      </c>
      <c r="D15" s="42">
        <f t="shared" si="0"/>
        <v>833.33333333333337</v>
      </c>
      <c r="E15" s="44">
        <f>E16+E17</f>
        <v>10000</v>
      </c>
    </row>
    <row r="16" spans="1:5">
      <c r="A16" s="26" t="s">
        <v>133</v>
      </c>
      <c r="B16" s="3" t="s">
        <v>10</v>
      </c>
      <c r="C16" s="35"/>
      <c r="D16" s="16">
        <f t="shared" si="0"/>
        <v>250</v>
      </c>
      <c r="E16" s="75">
        <v>3000</v>
      </c>
    </row>
    <row r="17" spans="1:5" ht="13.5" thickBot="1">
      <c r="A17" s="27" t="s">
        <v>134</v>
      </c>
      <c r="B17" s="4" t="s">
        <v>71</v>
      </c>
      <c r="C17" s="36"/>
      <c r="D17" s="17">
        <f t="shared" si="0"/>
        <v>583.33333333333337</v>
      </c>
      <c r="E17" s="76">
        <v>7000</v>
      </c>
    </row>
    <row r="18" spans="1:5" ht="13.5" thickBot="1">
      <c r="A18" s="25" t="s">
        <v>108</v>
      </c>
      <c r="B18" s="6" t="s">
        <v>11</v>
      </c>
      <c r="C18" s="33">
        <f>D18/D80</f>
        <v>1.6732257114555726E-2</v>
      </c>
      <c r="D18" s="14">
        <f t="shared" si="0"/>
        <v>416.66666666666669</v>
      </c>
      <c r="E18" s="60">
        <v>5000</v>
      </c>
    </row>
    <row r="19" spans="1:5">
      <c r="A19" s="24" t="s">
        <v>109</v>
      </c>
      <c r="B19" s="7" t="s">
        <v>69</v>
      </c>
      <c r="C19" s="34">
        <f>D19/D80</f>
        <v>0.14356276604288812</v>
      </c>
      <c r="D19" s="15">
        <f t="shared" si="0"/>
        <v>3575</v>
      </c>
      <c r="E19" s="61">
        <f>SUM(E20:E22)</f>
        <v>42900</v>
      </c>
    </row>
    <row r="20" spans="1:5">
      <c r="A20" s="28" t="s">
        <v>47</v>
      </c>
      <c r="B20" s="40" t="s">
        <v>88</v>
      </c>
      <c r="C20" s="41">
        <f>D20/D80</f>
        <v>5.0196771343667172E-2</v>
      </c>
      <c r="D20" s="42">
        <f t="shared" si="0"/>
        <v>1250</v>
      </c>
      <c r="E20" s="44">
        <v>15000</v>
      </c>
    </row>
    <row r="21" spans="1:5">
      <c r="A21" s="28" t="s">
        <v>48</v>
      </c>
      <c r="B21" s="40" t="s">
        <v>72</v>
      </c>
      <c r="C21" s="41">
        <f>D21/D80</f>
        <v>2.007870853746687E-2</v>
      </c>
      <c r="D21" s="42">
        <f t="shared" si="0"/>
        <v>500</v>
      </c>
      <c r="E21" s="44">
        <v>6000</v>
      </c>
    </row>
    <row r="22" spans="1:5">
      <c r="A22" s="28" t="s">
        <v>49</v>
      </c>
      <c r="B22" s="40" t="s">
        <v>68</v>
      </c>
      <c r="C22" s="41">
        <f>D22/D80</f>
        <v>7.3287286161754076E-2</v>
      </c>
      <c r="D22" s="42">
        <f t="shared" si="0"/>
        <v>1825</v>
      </c>
      <c r="E22" s="44">
        <f>SUM(E23:E25)</f>
        <v>21900</v>
      </c>
    </row>
    <row r="23" spans="1:5">
      <c r="A23" s="26" t="s">
        <v>135</v>
      </c>
      <c r="B23" s="3" t="s">
        <v>70</v>
      </c>
      <c r="C23" s="35"/>
      <c r="D23" s="16">
        <f t="shared" si="0"/>
        <v>75</v>
      </c>
      <c r="E23" s="75">
        <v>900</v>
      </c>
    </row>
    <row r="24" spans="1:5">
      <c r="A24" s="26" t="s">
        <v>136</v>
      </c>
      <c r="B24" s="70" t="s">
        <v>94</v>
      </c>
      <c r="C24" s="71"/>
      <c r="D24" s="72">
        <f t="shared" si="0"/>
        <v>500</v>
      </c>
      <c r="E24" s="77">
        <v>6000</v>
      </c>
    </row>
    <row r="25" spans="1:5" ht="13.5" thickBot="1">
      <c r="A25" s="26" t="s">
        <v>137</v>
      </c>
      <c r="B25" s="70" t="s">
        <v>93</v>
      </c>
      <c r="C25" s="71"/>
      <c r="D25" s="72">
        <f t="shared" si="0"/>
        <v>1250</v>
      </c>
      <c r="E25" s="77">
        <v>15000</v>
      </c>
    </row>
    <row r="26" spans="1:5">
      <c r="A26" s="24" t="s">
        <v>110</v>
      </c>
      <c r="B26" s="7" t="s">
        <v>12</v>
      </c>
      <c r="C26" s="34">
        <f>D26/D80</f>
        <v>8.7007736995689769E-2</v>
      </c>
      <c r="D26" s="15">
        <f t="shared" si="0"/>
        <v>2166.6666666666665</v>
      </c>
      <c r="E26" s="61">
        <f>SUM(E27:E31)</f>
        <v>26000</v>
      </c>
    </row>
    <row r="27" spans="1:5">
      <c r="A27" s="28" t="s">
        <v>50</v>
      </c>
      <c r="B27" s="40" t="s">
        <v>13</v>
      </c>
      <c r="C27" s="41">
        <f>D27/D80</f>
        <v>1.6732257114555726E-2</v>
      </c>
      <c r="D27" s="42">
        <f t="shared" si="0"/>
        <v>416.66666666666669</v>
      </c>
      <c r="E27" s="44">
        <v>5000</v>
      </c>
    </row>
    <row r="28" spans="1:5">
      <c r="A28" s="28" t="s">
        <v>51</v>
      </c>
      <c r="B28" s="40" t="s">
        <v>14</v>
      </c>
      <c r="C28" s="41">
        <f>D28/D80</f>
        <v>2.007870853746687E-2</v>
      </c>
      <c r="D28" s="42">
        <f t="shared" si="0"/>
        <v>500</v>
      </c>
      <c r="E28" s="44">
        <v>6000</v>
      </c>
    </row>
    <row r="29" spans="1:5">
      <c r="A29" s="28" t="s">
        <v>52</v>
      </c>
      <c r="B29" s="40" t="s">
        <v>15</v>
      </c>
      <c r="C29" s="41">
        <f>D29/D80</f>
        <v>2.007870853746687E-2</v>
      </c>
      <c r="D29" s="42">
        <f t="shared" si="0"/>
        <v>500</v>
      </c>
      <c r="E29" s="44">
        <v>6000</v>
      </c>
    </row>
    <row r="30" spans="1:5">
      <c r="A30" s="28" t="s">
        <v>53</v>
      </c>
      <c r="B30" s="40" t="s">
        <v>16</v>
      </c>
      <c r="C30" s="41">
        <f>D30/D80</f>
        <v>3.3464514229111448E-3</v>
      </c>
      <c r="D30" s="42">
        <f t="shared" si="0"/>
        <v>83.333333333333329</v>
      </c>
      <c r="E30" s="44">
        <v>1000</v>
      </c>
    </row>
    <row r="31" spans="1:5" ht="13.5" thickBot="1">
      <c r="A31" s="29" t="s">
        <v>54</v>
      </c>
      <c r="B31" s="47" t="s">
        <v>84</v>
      </c>
      <c r="C31" s="48">
        <f>D31/D80</f>
        <v>2.6771611383289158E-2</v>
      </c>
      <c r="D31" s="43">
        <f t="shared" si="0"/>
        <v>666.66666666666663</v>
      </c>
      <c r="E31" s="62">
        <v>8000</v>
      </c>
    </row>
    <row r="32" spans="1:5" ht="25.5">
      <c r="A32" s="24" t="s">
        <v>111</v>
      </c>
      <c r="B32" s="8" t="s">
        <v>17</v>
      </c>
      <c r="C32" s="38">
        <f>D32/D80</f>
        <v>0.95005755896447397</v>
      </c>
      <c r="D32" s="39">
        <f t="shared" si="0"/>
        <v>23658.333333333332</v>
      </c>
      <c r="E32" s="78">
        <f>SUM(E33:E45)</f>
        <v>283900</v>
      </c>
    </row>
    <row r="33" spans="1:5">
      <c r="A33" s="28" t="s">
        <v>56</v>
      </c>
      <c r="B33" s="40" t="s">
        <v>99</v>
      </c>
      <c r="C33" s="41">
        <f>D33/D80</f>
        <v>4.8188900489920486E-2</v>
      </c>
      <c r="D33" s="42">
        <f t="shared" si="0"/>
        <v>1200</v>
      </c>
      <c r="E33" s="44">
        <v>14400</v>
      </c>
    </row>
    <row r="34" spans="1:5">
      <c r="A34" s="28" t="s">
        <v>57</v>
      </c>
      <c r="B34" s="73" t="s">
        <v>55</v>
      </c>
      <c r="C34" s="41">
        <f>D34/D80</f>
        <v>0.16732257114555726</v>
      </c>
      <c r="D34" s="42">
        <f t="shared" si="0"/>
        <v>4166.666666666667</v>
      </c>
      <c r="E34" s="44">
        <v>50000</v>
      </c>
    </row>
    <row r="35" spans="1:5">
      <c r="A35" s="28" t="s">
        <v>58</v>
      </c>
      <c r="B35" s="74" t="s">
        <v>18</v>
      </c>
      <c r="C35" s="41">
        <f>D35/D80</f>
        <v>0.10039354268733434</v>
      </c>
      <c r="D35" s="42">
        <f t="shared" si="0"/>
        <v>2500</v>
      </c>
      <c r="E35" s="44">
        <v>30000</v>
      </c>
    </row>
    <row r="36" spans="1:5">
      <c r="A36" s="28" t="s">
        <v>73</v>
      </c>
      <c r="B36" s="40" t="s">
        <v>19</v>
      </c>
      <c r="C36" s="41">
        <f>D36/D80</f>
        <v>0.10039354268733434</v>
      </c>
      <c r="D36" s="42">
        <f t="shared" si="0"/>
        <v>2500</v>
      </c>
      <c r="E36" s="44">
        <v>30000</v>
      </c>
    </row>
    <row r="37" spans="1:5">
      <c r="A37" s="28" t="s">
        <v>75</v>
      </c>
      <c r="B37" s="40" t="s">
        <v>20</v>
      </c>
      <c r="C37" s="41">
        <f>D37/D80</f>
        <v>2.007870853746687E-2</v>
      </c>
      <c r="D37" s="42">
        <f t="shared" si="0"/>
        <v>500</v>
      </c>
      <c r="E37" s="44">
        <v>6000</v>
      </c>
    </row>
    <row r="38" spans="1:5">
      <c r="A38" s="28" t="s">
        <v>79</v>
      </c>
      <c r="B38" s="40" t="s">
        <v>100</v>
      </c>
      <c r="C38" s="41">
        <f>D38/D83</f>
        <v>22.727269961610727</v>
      </c>
      <c r="D38" s="42">
        <f t="shared" si="0"/>
        <v>250</v>
      </c>
      <c r="E38" s="44">
        <v>3000</v>
      </c>
    </row>
    <row r="39" spans="1:5">
      <c r="A39" s="28" t="s">
        <v>82</v>
      </c>
      <c r="B39" s="40" t="s">
        <v>101</v>
      </c>
      <c r="C39" s="41">
        <f>D39/D83</f>
        <v>22.727269961610727</v>
      </c>
      <c r="D39" s="42">
        <f t="shared" si="0"/>
        <v>250</v>
      </c>
      <c r="E39" s="44">
        <v>3000</v>
      </c>
    </row>
    <row r="40" spans="1:5">
      <c r="A40" s="28" t="s">
        <v>103</v>
      </c>
      <c r="B40" s="40" t="s">
        <v>21</v>
      </c>
      <c r="C40" s="41">
        <f>D40/D80</f>
        <v>4.0157417074933741E-2</v>
      </c>
      <c r="D40" s="42">
        <f t="shared" si="0"/>
        <v>1000</v>
      </c>
      <c r="E40" s="44">
        <v>12000</v>
      </c>
    </row>
    <row r="41" spans="1:5">
      <c r="A41" s="28" t="s">
        <v>138</v>
      </c>
      <c r="B41" s="40" t="s">
        <v>22</v>
      </c>
      <c r="C41" s="41">
        <f>D41/D80</f>
        <v>2.6771611383289158E-2</v>
      </c>
      <c r="D41" s="42">
        <f t="shared" si="0"/>
        <v>666.66666666666663</v>
      </c>
      <c r="E41" s="44">
        <v>8000</v>
      </c>
    </row>
    <row r="42" spans="1:5">
      <c r="A42" s="28" t="s">
        <v>139</v>
      </c>
      <c r="B42" s="40" t="s">
        <v>81</v>
      </c>
      <c r="C42" s="41">
        <f>D42/D80</f>
        <v>0.12047225122480122</v>
      </c>
      <c r="D42" s="42">
        <f t="shared" si="0"/>
        <v>3000</v>
      </c>
      <c r="E42" s="44">
        <v>36000</v>
      </c>
    </row>
    <row r="43" spans="1:5">
      <c r="A43" s="28" t="s">
        <v>140</v>
      </c>
      <c r="B43" s="64" t="s">
        <v>78</v>
      </c>
      <c r="C43" s="41">
        <f>D43/D80</f>
        <v>0.12716515407062351</v>
      </c>
      <c r="D43" s="42">
        <f t="shared" si="0"/>
        <v>3166.6666666666665</v>
      </c>
      <c r="E43" s="44">
        <v>38000</v>
      </c>
    </row>
    <row r="44" spans="1:5">
      <c r="A44" s="28" t="s">
        <v>141</v>
      </c>
      <c r="B44" s="40" t="s">
        <v>23</v>
      </c>
      <c r="C44" s="41">
        <f>D44/D80</f>
        <v>9.5373865552967632E-2</v>
      </c>
      <c r="D44" s="42">
        <f t="shared" si="0"/>
        <v>2375</v>
      </c>
      <c r="E44" s="44">
        <v>28500</v>
      </c>
    </row>
    <row r="45" spans="1:5" ht="13.5" thickBot="1">
      <c r="A45" s="28" t="s">
        <v>142</v>
      </c>
      <c r="B45" s="51" t="s">
        <v>90</v>
      </c>
      <c r="C45" s="130">
        <f>D45/D80</f>
        <v>8.3661285572778632E-2</v>
      </c>
      <c r="D45" s="42">
        <f t="shared" si="0"/>
        <v>2083.3333333333335</v>
      </c>
      <c r="E45" s="44">
        <v>25000</v>
      </c>
    </row>
    <row r="46" spans="1:5">
      <c r="A46" s="24" t="s">
        <v>112</v>
      </c>
      <c r="B46" s="7" t="s">
        <v>102</v>
      </c>
      <c r="C46" s="34">
        <f>D46/D80</f>
        <v>1.5494070088078602</v>
      </c>
      <c r="D46" s="15">
        <f t="shared" si="0"/>
        <v>38583.333333333336</v>
      </c>
      <c r="E46" s="61">
        <f>SUM(E47:E54)</f>
        <v>463000</v>
      </c>
    </row>
    <row r="47" spans="1:5">
      <c r="A47" s="28" t="s">
        <v>59</v>
      </c>
      <c r="B47" s="40" t="s">
        <v>80</v>
      </c>
      <c r="C47" s="41">
        <f>D47/D80</f>
        <v>6.6929028458222906E-2</v>
      </c>
      <c r="D47" s="42">
        <f t="shared" si="0"/>
        <v>1666.6666666666667</v>
      </c>
      <c r="E47" s="44">
        <v>20000</v>
      </c>
    </row>
    <row r="48" spans="1:5">
      <c r="A48" s="28" t="s">
        <v>60</v>
      </c>
      <c r="B48" s="40" t="s">
        <v>87</v>
      </c>
      <c r="C48" s="41">
        <f>D48/D80</f>
        <v>0.20078708537466869</v>
      </c>
      <c r="D48" s="42">
        <f t="shared" si="0"/>
        <v>5000</v>
      </c>
      <c r="E48" s="44">
        <v>60000</v>
      </c>
    </row>
    <row r="49" spans="1:5">
      <c r="A49" s="28" t="s">
        <v>61</v>
      </c>
      <c r="B49" s="40" t="s">
        <v>77</v>
      </c>
      <c r="C49" s="41">
        <f>D49/D80</f>
        <v>0</v>
      </c>
      <c r="D49" s="42">
        <f t="shared" si="0"/>
        <v>0</v>
      </c>
      <c r="E49" s="44">
        <v>0</v>
      </c>
    </row>
    <row r="50" spans="1:5">
      <c r="A50" s="28" t="s">
        <v>62</v>
      </c>
      <c r="B50" s="40" t="s">
        <v>25</v>
      </c>
      <c r="C50" s="41">
        <f>D50/D80</f>
        <v>8.3661285572778632E-2</v>
      </c>
      <c r="D50" s="42">
        <f t="shared" si="0"/>
        <v>2083.3333333333335</v>
      </c>
      <c r="E50" s="44">
        <v>25000</v>
      </c>
    </row>
    <row r="51" spans="1:5">
      <c r="A51" s="28" t="s">
        <v>63</v>
      </c>
      <c r="B51" s="64" t="s">
        <v>76</v>
      </c>
      <c r="C51" s="41">
        <f>D51/D80</f>
        <v>1.6732257114555726E-2</v>
      </c>
      <c r="D51" s="42">
        <f t="shared" si="0"/>
        <v>416.66666666666669</v>
      </c>
      <c r="E51" s="44">
        <v>5000</v>
      </c>
    </row>
    <row r="52" spans="1:5">
      <c r="A52" s="28" t="s">
        <v>64</v>
      </c>
      <c r="B52" s="40" t="s">
        <v>130</v>
      </c>
      <c r="C52" s="41">
        <f>D52/D80</f>
        <v>0.28444837094744729</v>
      </c>
      <c r="D52" s="42">
        <f>E52/12</f>
        <v>7083.333333333333</v>
      </c>
      <c r="E52" s="44">
        <v>85000</v>
      </c>
    </row>
    <row r="53" spans="1:5">
      <c r="A53" s="28" t="s">
        <v>65</v>
      </c>
      <c r="B53" s="40" t="s">
        <v>85</v>
      </c>
      <c r="C53" s="41">
        <f>D53/D80</f>
        <v>2.6771611383289158E-2</v>
      </c>
      <c r="D53" s="42">
        <f>E53/12</f>
        <v>666.66666666666663</v>
      </c>
      <c r="E53" s="44">
        <v>8000</v>
      </c>
    </row>
    <row r="54" spans="1:5" ht="13.5" thickBot="1">
      <c r="A54" s="28" t="s">
        <v>66</v>
      </c>
      <c r="B54" s="40" t="s">
        <v>121</v>
      </c>
      <c r="C54" s="41">
        <f>D54/D80</f>
        <v>0.87007736995689777</v>
      </c>
      <c r="D54" s="42">
        <f>E54/12</f>
        <v>21666.666666666668</v>
      </c>
      <c r="E54" s="44">
        <v>260000</v>
      </c>
    </row>
    <row r="55" spans="1:5">
      <c r="A55" s="24" t="s">
        <v>113</v>
      </c>
      <c r="B55" s="7" t="s">
        <v>127</v>
      </c>
      <c r="C55" s="34">
        <f>D55/D80</f>
        <v>4.6150208818568785</v>
      </c>
      <c r="D55" s="15">
        <f t="shared" si="0"/>
        <v>114923.25</v>
      </c>
      <c r="E55" s="61">
        <f>SUM(E56:E72)</f>
        <v>1379079</v>
      </c>
    </row>
    <row r="56" spans="1:5">
      <c r="A56" s="28" t="s">
        <v>143</v>
      </c>
      <c r="B56" s="40" t="s">
        <v>95</v>
      </c>
      <c r="C56" s="41">
        <f>D56/D80</f>
        <v>8.3661285572778632E-2</v>
      </c>
      <c r="D56" s="42">
        <f t="shared" si="0"/>
        <v>2083.3333333333335</v>
      </c>
      <c r="E56" s="44">
        <v>25000</v>
      </c>
    </row>
    <row r="57" spans="1:5">
      <c r="A57" s="28" t="s">
        <v>144</v>
      </c>
      <c r="B57" s="64" t="s">
        <v>91</v>
      </c>
      <c r="C57" s="41">
        <f>D57/D80</f>
        <v>0.26771611383289162</v>
      </c>
      <c r="D57" s="42">
        <f t="shared" si="0"/>
        <v>6666.666666666667</v>
      </c>
      <c r="E57" s="44">
        <v>80000</v>
      </c>
    </row>
    <row r="58" spans="1:5">
      <c r="A58" s="28" t="s">
        <v>145</v>
      </c>
      <c r="B58" s="40" t="s">
        <v>122</v>
      </c>
      <c r="C58" s="41">
        <f>D58/D80</f>
        <v>0.10039354268733434</v>
      </c>
      <c r="D58" s="42">
        <f t="shared" si="0"/>
        <v>2500</v>
      </c>
      <c r="E58" s="44">
        <v>30000</v>
      </c>
    </row>
    <row r="59" spans="1:5">
      <c r="A59" s="28" t="s">
        <v>146</v>
      </c>
      <c r="B59" s="40" t="s">
        <v>125</v>
      </c>
      <c r="C59" s="41">
        <f>D59/D80</f>
        <v>6.0236125612400611E-2</v>
      </c>
      <c r="D59" s="42">
        <f t="shared" si="0"/>
        <v>1500</v>
      </c>
      <c r="E59" s="44">
        <v>18000</v>
      </c>
    </row>
    <row r="60" spans="1:5">
      <c r="A60" s="28" t="s">
        <v>147</v>
      </c>
      <c r="B60" s="64" t="s">
        <v>123</v>
      </c>
      <c r="C60" s="41">
        <f>D60/D80</f>
        <v>0.53543222766578324</v>
      </c>
      <c r="D60" s="42">
        <f t="shared" si="0"/>
        <v>13333.333333333334</v>
      </c>
      <c r="E60" s="44">
        <v>160000</v>
      </c>
    </row>
    <row r="61" spans="1:5">
      <c r="A61" s="28" t="s">
        <v>148</v>
      </c>
      <c r="B61" s="64" t="s">
        <v>160</v>
      </c>
      <c r="C61" s="41">
        <f>D61/D80</f>
        <v>0.33464514229111453</v>
      </c>
      <c r="D61" s="42">
        <f t="shared" si="0"/>
        <v>8333.3333333333339</v>
      </c>
      <c r="E61" s="44">
        <v>100000</v>
      </c>
    </row>
    <row r="62" spans="1:5">
      <c r="A62" s="28" t="s">
        <v>149</v>
      </c>
      <c r="B62" s="40" t="s">
        <v>74</v>
      </c>
      <c r="C62" s="41">
        <f>D62/D80</f>
        <v>1.3385805691644579E-2</v>
      </c>
      <c r="D62" s="42">
        <f t="shared" si="0"/>
        <v>333.33333333333331</v>
      </c>
      <c r="E62" s="44">
        <v>4000</v>
      </c>
    </row>
    <row r="63" spans="1:5">
      <c r="A63" s="28" t="s">
        <v>150</v>
      </c>
      <c r="B63" s="64" t="s">
        <v>98</v>
      </c>
      <c r="C63" s="41">
        <f>D63/D80</f>
        <v>2.8110191952453619E-2</v>
      </c>
      <c r="D63" s="42">
        <f t="shared" si="0"/>
        <v>700</v>
      </c>
      <c r="E63" s="44">
        <v>8400</v>
      </c>
    </row>
    <row r="64" spans="1:5">
      <c r="A64" s="28" t="s">
        <v>151</v>
      </c>
      <c r="B64" s="40" t="s">
        <v>97</v>
      </c>
      <c r="C64" s="41">
        <f>D64/D80</f>
        <v>0.10708644553315663</v>
      </c>
      <c r="D64" s="42">
        <f t="shared" si="0"/>
        <v>2666.6666666666665</v>
      </c>
      <c r="E64" s="44">
        <v>32000</v>
      </c>
    </row>
    <row r="65" spans="1:5">
      <c r="A65" s="28" t="s">
        <v>152</v>
      </c>
      <c r="B65" s="40" t="s">
        <v>83</v>
      </c>
      <c r="C65" s="41">
        <f>D65/D80</f>
        <v>2.6771611383289158E-2</v>
      </c>
      <c r="D65" s="42">
        <f t="shared" si="0"/>
        <v>666.66666666666663</v>
      </c>
      <c r="E65" s="44">
        <v>8000</v>
      </c>
    </row>
    <row r="66" spans="1:5">
      <c r="A66" s="28" t="s">
        <v>153</v>
      </c>
      <c r="B66" s="45" t="s">
        <v>126</v>
      </c>
      <c r="C66" s="41">
        <f>D66/D80</f>
        <v>8.3661285572778632E-2</v>
      </c>
      <c r="D66" s="46">
        <f t="shared" si="0"/>
        <v>2083.3333333333335</v>
      </c>
      <c r="E66" s="79">
        <v>25000</v>
      </c>
    </row>
    <row r="67" spans="1:5">
      <c r="A67" s="28" t="s">
        <v>154</v>
      </c>
      <c r="B67" s="45" t="s">
        <v>86</v>
      </c>
      <c r="C67" s="41">
        <f>D67/D80</f>
        <v>0.21751934248922444</v>
      </c>
      <c r="D67" s="46">
        <f t="shared" si="0"/>
        <v>5416.666666666667</v>
      </c>
      <c r="E67" s="79">
        <v>65000</v>
      </c>
    </row>
    <row r="68" spans="1:5">
      <c r="A68" s="28" t="s">
        <v>155</v>
      </c>
      <c r="B68" s="73" t="s">
        <v>24</v>
      </c>
      <c r="C68" s="94">
        <f>D68/D80</f>
        <v>2.3425159960378018E-2</v>
      </c>
      <c r="D68" s="95">
        <f t="shared" si="0"/>
        <v>583.33333333333337</v>
      </c>
      <c r="E68" s="96">
        <v>7000</v>
      </c>
    </row>
    <row r="69" spans="1:5">
      <c r="A69" s="28" t="s">
        <v>156</v>
      </c>
      <c r="B69" s="97" t="s">
        <v>124</v>
      </c>
      <c r="C69" s="98">
        <f>D69/D80</f>
        <v>0.93700639841512057</v>
      </c>
      <c r="D69" s="99">
        <f t="shared" si="0"/>
        <v>23333.333333333332</v>
      </c>
      <c r="E69" s="122">
        <v>280000</v>
      </c>
    </row>
    <row r="70" spans="1:5">
      <c r="A70" s="28" t="s">
        <v>157</v>
      </c>
      <c r="B70" s="97" t="s">
        <v>129</v>
      </c>
      <c r="C70" s="98">
        <f>D70/D80</f>
        <v>1.6397611972264612</v>
      </c>
      <c r="D70" s="99">
        <f t="shared" ref="D70:D78" si="1">E70/12</f>
        <v>40833.333333333336</v>
      </c>
      <c r="E70" s="122">
        <v>490000</v>
      </c>
    </row>
    <row r="71" spans="1:5">
      <c r="A71" s="28" t="s">
        <v>158</v>
      </c>
      <c r="B71" s="124" t="s">
        <v>128</v>
      </c>
      <c r="C71" s="129">
        <f>D71/D80</f>
        <v>0.13613029743260247</v>
      </c>
      <c r="D71" s="125">
        <f t="shared" si="1"/>
        <v>3389.9166666666665</v>
      </c>
      <c r="E71" s="122">
        <v>40679</v>
      </c>
    </row>
    <row r="72" spans="1:5" ht="13.5" thickBot="1">
      <c r="A72" s="28" t="s">
        <v>159</v>
      </c>
      <c r="B72" s="64" t="s">
        <v>104</v>
      </c>
      <c r="C72" s="92">
        <f>D72/D80</f>
        <v>2.007870853746687E-2</v>
      </c>
      <c r="D72" s="93">
        <f t="shared" si="1"/>
        <v>500</v>
      </c>
      <c r="E72" s="126">
        <v>6000</v>
      </c>
    </row>
    <row r="73" spans="1:5" ht="13.5" thickBot="1">
      <c r="A73" s="23">
        <v>13</v>
      </c>
      <c r="B73" s="5" t="s">
        <v>92</v>
      </c>
      <c r="C73" s="37">
        <f>D73/D80</f>
        <v>0</v>
      </c>
      <c r="D73" s="14">
        <f t="shared" si="1"/>
        <v>0</v>
      </c>
      <c r="E73" s="60">
        <v>0</v>
      </c>
    </row>
    <row r="74" spans="1:5" ht="13.5" thickBot="1">
      <c r="A74" s="23">
        <v>14</v>
      </c>
      <c r="B74" s="6" t="s">
        <v>26</v>
      </c>
      <c r="C74" s="33">
        <f>D74/D80</f>
        <v>3.3464514229111453E-2</v>
      </c>
      <c r="D74" s="14">
        <f t="shared" si="1"/>
        <v>833.33333333333337</v>
      </c>
      <c r="E74" s="60">
        <v>10000</v>
      </c>
    </row>
    <row r="75" spans="1:5" ht="13.5" thickBot="1">
      <c r="A75" s="54">
        <v>15</v>
      </c>
      <c r="B75" s="55" t="s">
        <v>119</v>
      </c>
      <c r="C75" s="80">
        <f>D75/D80</f>
        <v>1.350293149144647</v>
      </c>
      <c r="D75" s="53">
        <f t="shared" si="1"/>
        <v>33625</v>
      </c>
      <c r="E75" s="56">
        <v>403500</v>
      </c>
    </row>
    <row r="76" spans="1:5" ht="13.5" thickBot="1">
      <c r="A76" s="131">
        <v>16</v>
      </c>
      <c r="B76" s="132" t="s">
        <v>120</v>
      </c>
      <c r="C76" s="133">
        <f>D76/D80</f>
        <v>8.1017588948678818E-2</v>
      </c>
      <c r="D76" s="134">
        <f t="shared" si="1"/>
        <v>2017.5</v>
      </c>
      <c r="E76" s="135">
        <v>24210</v>
      </c>
    </row>
    <row r="77" spans="1:5" ht="13.5" thickBot="1">
      <c r="A77" s="54">
        <v>17</v>
      </c>
      <c r="B77" s="55" t="s">
        <v>114</v>
      </c>
      <c r="C77" s="52">
        <f>D77/D80</f>
        <v>2.1588426632399003</v>
      </c>
      <c r="D77" s="53">
        <f t="shared" si="1"/>
        <v>53759.5</v>
      </c>
      <c r="E77" s="56">
        <v>645114</v>
      </c>
    </row>
    <row r="78" spans="1:5" ht="13.5" thickBot="1">
      <c r="A78" s="253" t="s">
        <v>27</v>
      </c>
      <c r="B78" s="254"/>
      <c r="C78" s="57">
        <f>D78/D80</f>
        <v>11.000001338580571</v>
      </c>
      <c r="D78" s="58">
        <f t="shared" si="1"/>
        <v>273922.03333333338</v>
      </c>
      <c r="E78" s="59">
        <f>E6+E7+E8+E9+E10+E13+E18+E19+E26+E32+E46+E55+E73+E74-E75+E76-E77</f>
        <v>3287064.4000000004</v>
      </c>
    </row>
    <row r="79" spans="1:5">
      <c r="A79" s="11"/>
      <c r="B79" s="11"/>
      <c r="C79" s="11"/>
      <c r="D79" s="11"/>
      <c r="E79" s="11"/>
    </row>
    <row r="80" spans="1:5">
      <c r="A80" s="110" t="s">
        <v>28</v>
      </c>
      <c r="B80" s="110"/>
      <c r="C80" s="31"/>
      <c r="D80" s="1">
        <v>24902</v>
      </c>
      <c r="E80" s="2" t="s">
        <v>29</v>
      </c>
    </row>
    <row r="81" spans="1:5">
      <c r="A81" s="11"/>
      <c r="B81" s="11"/>
      <c r="C81" s="11"/>
      <c r="D81" s="11"/>
      <c r="E81" s="11"/>
    </row>
    <row r="82" spans="1:5">
      <c r="A82" s="247" t="s">
        <v>115</v>
      </c>
      <c r="B82" s="247"/>
      <c r="C82" s="30"/>
    </row>
    <row r="83" spans="1:5">
      <c r="A83" s="247" t="s">
        <v>30</v>
      </c>
      <c r="B83" s="247"/>
      <c r="C83" s="30"/>
      <c r="D83" s="32">
        <f>D78/D80</f>
        <v>11.000001338580571</v>
      </c>
      <c r="E83" s="2" t="s">
        <v>31</v>
      </c>
    </row>
  </sheetData>
  <mergeCells count="7">
    <mergeCell ref="A83:B83"/>
    <mergeCell ref="C1:E1"/>
    <mergeCell ref="A2:E2"/>
    <mergeCell ref="A3:E3"/>
    <mergeCell ref="A4:E4"/>
    <mergeCell ref="A78:B78"/>
    <mergeCell ref="A82:B82"/>
  </mergeCells>
  <pageMargins left="0.78740157480314965" right="0" top="0.19685039370078741" bottom="0.19685039370078741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Смета</vt:lpstr>
      <vt:lpstr>Лист1</vt:lpstr>
      <vt:lpstr>Смета!OLE_LINK3</vt:lpstr>
      <vt:lpstr>Смета!Область_печати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2019-01-17T13:12:59Z</cp:lastPrinted>
  <dcterms:created xsi:type="dcterms:W3CDTF">2010-12-02T20:37:32Z</dcterms:created>
  <dcterms:modified xsi:type="dcterms:W3CDTF">2019-01-19T12:40:35Z</dcterms:modified>
</cp:coreProperties>
</file>