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Смета" sheetId="1" r:id="rId1"/>
    <sheet name="Лист1" sheetId="7" r:id="rId2"/>
  </sheets>
  <definedNames>
    <definedName name="_xlnm.Print_Area" localSheetId="0">Смета!$A$1:$U$82</definedName>
  </definedNames>
  <calcPr calcId="125725" refMode="R1C1"/>
</workbook>
</file>

<file path=xl/calcChain.xml><?xml version="1.0" encoding="utf-8"?>
<calcChain xmlns="http://schemas.openxmlformats.org/spreadsheetml/2006/main">
  <c r="T74" i="1"/>
  <c r="U74" s="1"/>
  <c r="U77" s="1"/>
  <c r="T76"/>
  <c r="E77"/>
  <c r="T21"/>
  <c r="U21" s="1"/>
  <c r="T22"/>
  <c r="S73"/>
  <c r="T73" s="1"/>
  <c r="U73" s="1"/>
  <c r="S19"/>
  <c r="M58"/>
  <c r="G7"/>
  <c r="T7"/>
  <c r="U7"/>
  <c r="S7"/>
  <c r="R47"/>
  <c r="Q19"/>
  <c r="T47"/>
  <c r="U47"/>
  <c r="T24"/>
  <c r="T23"/>
  <c r="J5"/>
  <c r="R13"/>
  <c r="R8"/>
  <c r="R7"/>
  <c r="S5"/>
  <c r="R33"/>
  <c r="T8"/>
  <c r="U8"/>
  <c r="R74"/>
  <c r="R5"/>
  <c r="R56"/>
  <c r="R54"/>
  <c r="P41"/>
  <c r="P51"/>
  <c r="P73"/>
  <c r="P42"/>
  <c r="P31"/>
  <c r="N73"/>
  <c r="N51"/>
  <c r="T51"/>
  <c r="U51"/>
  <c r="O42"/>
  <c r="O21"/>
  <c r="P21"/>
  <c r="P24"/>
  <c r="N21"/>
  <c r="M21"/>
  <c r="O51"/>
  <c r="O47"/>
  <c r="O11"/>
  <c r="O7"/>
  <c r="M5"/>
  <c r="J7"/>
  <c r="J41"/>
  <c r="P7"/>
  <c r="P5"/>
  <c r="Q7"/>
  <c r="Q5"/>
  <c r="R6"/>
  <c r="D7"/>
  <c r="C7"/>
  <c r="R10"/>
  <c r="Q10"/>
  <c r="Q8"/>
  <c r="Q74"/>
  <c r="L5"/>
  <c r="N5"/>
  <c r="O5"/>
  <c r="P35"/>
  <c r="P10"/>
  <c r="P47"/>
  <c r="P8"/>
  <c r="P11"/>
  <c r="P45"/>
  <c r="O10"/>
  <c r="O9"/>
  <c r="O8"/>
  <c r="N7"/>
  <c r="N8"/>
  <c r="L64"/>
  <c r="N10"/>
  <c r="N71"/>
  <c r="N50"/>
  <c r="T50"/>
  <c r="U50"/>
  <c r="N47"/>
  <c r="N11"/>
  <c r="M7"/>
  <c r="M69"/>
  <c r="T69"/>
  <c r="U69"/>
  <c r="M8"/>
  <c r="N74"/>
  <c r="M73"/>
  <c r="M10"/>
  <c r="L7"/>
  <c r="L8"/>
  <c r="L68"/>
  <c r="L51"/>
  <c r="L10"/>
  <c r="L73"/>
  <c r="L11"/>
  <c r="K5"/>
  <c r="K20"/>
  <c r="K11"/>
  <c r="K9"/>
  <c r="K28"/>
  <c r="K51"/>
  <c r="K47"/>
  <c r="K7"/>
  <c r="K8"/>
  <c r="K19"/>
  <c r="K10"/>
  <c r="J6"/>
  <c r="K42"/>
  <c r="J8"/>
  <c r="J11"/>
  <c r="J47"/>
  <c r="J45"/>
  <c r="J73"/>
  <c r="J51"/>
  <c r="J19"/>
  <c r="J10"/>
  <c r="J9"/>
  <c r="I8"/>
  <c r="I21"/>
  <c r="I18"/>
  <c r="I24"/>
  <c r="I74"/>
  <c r="I11"/>
  <c r="I9"/>
  <c r="I5"/>
  <c r="I31"/>
  <c r="I47"/>
  <c r="I19"/>
  <c r="T19"/>
  <c r="U19"/>
  <c r="I7"/>
  <c r="H5"/>
  <c r="H7"/>
  <c r="H24"/>
  <c r="U24"/>
  <c r="H42"/>
  <c r="H8"/>
  <c r="F7"/>
  <c r="G5"/>
  <c r="G8"/>
  <c r="G47"/>
  <c r="G11"/>
  <c r="G9"/>
  <c r="T9"/>
  <c r="D77" i="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E55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E46"/>
  <c r="D46"/>
  <c r="C46"/>
  <c r="D45"/>
  <c r="C45"/>
  <c r="D44"/>
  <c r="C44"/>
  <c r="D43"/>
  <c r="C43"/>
  <c r="D42"/>
  <c r="C42"/>
  <c r="D41"/>
  <c r="C41"/>
  <c r="D40"/>
  <c r="C40"/>
  <c r="D39"/>
  <c r="D38"/>
  <c r="D37"/>
  <c r="C37"/>
  <c r="D36"/>
  <c r="C36"/>
  <c r="D35"/>
  <c r="C35"/>
  <c r="D34"/>
  <c r="C34"/>
  <c r="D33"/>
  <c r="C33"/>
  <c r="E32"/>
  <c r="D32"/>
  <c r="C32"/>
  <c r="D31"/>
  <c r="C31"/>
  <c r="D30"/>
  <c r="C30"/>
  <c r="D29"/>
  <c r="C29"/>
  <c r="D28"/>
  <c r="C28"/>
  <c r="D27"/>
  <c r="C27"/>
  <c r="E26"/>
  <c r="D26"/>
  <c r="C26"/>
  <c r="D25"/>
  <c r="D24"/>
  <c r="D23"/>
  <c r="E22"/>
  <c r="D22"/>
  <c r="C22"/>
  <c r="D21"/>
  <c r="C21"/>
  <c r="D20"/>
  <c r="C20"/>
  <c r="D18"/>
  <c r="C18"/>
  <c r="D17"/>
  <c r="D16"/>
  <c r="E15"/>
  <c r="D15"/>
  <c r="C15"/>
  <c r="D14"/>
  <c r="C14"/>
  <c r="D12"/>
  <c r="C12"/>
  <c r="D11"/>
  <c r="C11"/>
  <c r="E10"/>
  <c r="D10"/>
  <c r="C10"/>
  <c r="D9"/>
  <c r="C9"/>
  <c r="D8"/>
  <c r="C8"/>
  <c r="D7"/>
  <c r="C7"/>
  <c r="D6"/>
  <c r="C6"/>
  <c r="F51" i="1"/>
  <c r="F34"/>
  <c r="F31"/>
  <c r="F11"/>
  <c r="F9"/>
  <c r="T70"/>
  <c r="U70"/>
  <c r="T75"/>
  <c r="U75"/>
  <c r="T6"/>
  <c r="U6"/>
  <c r="D75"/>
  <c r="C75"/>
  <c r="D70"/>
  <c r="C70"/>
  <c r="D6"/>
  <c r="C6"/>
  <c r="S21"/>
  <c r="S18"/>
  <c r="S77" s="1"/>
  <c r="E14"/>
  <c r="D14"/>
  <c r="C14"/>
  <c r="T52"/>
  <c r="U52"/>
  <c r="T53"/>
  <c r="U53"/>
  <c r="D53"/>
  <c r="C53"/>
  <c r="T32"/>
  <c r="U32"/>
  <c r="D52"/>
  <c r="C52"/>
  <c r="T37"/>
  <c r="U37"/>
  <c r="T38"/>
  <c r="U38"/>
  <c r="D38"/>
  <c r="D37"/>
  <c r="U22"/>
  <c r="U23"/>
  <c r="T26"/>
  <c r="U26"/>
  <c r="T28"/>
  <c r="U28"/>
  <c r="T29"/>
  <c r="U29"/>
  <c r="T30"/>
  <c r="U30"/>
  <c r="T34"/>
  <c r="U34"/>
  <c r="T35"/>
  <c r="U35"/>
  <c r="T36"/>
  <c r="U36" s="1"/>
  <c r="T39"/>
  <c r="U39"/>
  <c r="T40"/>
  <c r="U40"/>
  <c r="T41"/>
  <c r="U41"/>
  <c r="T44"/>
  <c r="U44"/>
  <c r="T48"/>
  <c r="U48"/>
  <c r="T49"/>
  <c r="U49"/>
  <c r="T57"/>
  <c r="U57"/>
  <c r="T58"/>
  <c r="U58"/>
  <c r="T59"/>
  <c r="U59"/>
  <c r="T60"/>
  <c r="U60"/>
  <c r="T61"/>
  <c r="U61"/>
  <c r="T62"/>
  <c r="U62"/>
  <c r="T63"/>
  <c r="U63"/>
  <c r="T64"/>
  <c r="U64"/>
  <c r="T65"/>
  <c r="U65"/>
  <c r="T67"/>
  <c r="U67"/>
  <c r="T68"/>
  <c r="U68"/>
  <c r="T71"/>
  <c r="U71"/>
  <c r="T72"/>
  <c r="U72"/>
  <c r="T17"/>
  <c r="U17" s="1"/>
  <c r="R9"/>
  <c r="T42"/>
  <c r="U42"/>
  <c r="F45"/>
  <c r="R25"/>
  <c r="Q31"/>
  <c r="Q9"/>
  <c r="Q45"/>
  <c r="P9"/>
  <c r="N54"/>
  <c r="L21"/>
  <c r="L18"/>
  <c r="M18"/>
  <c r="M45"/>
  <c r="L31"/>
  <c r="T10"/>
  <c r="U10"/>
  <c r="K45"/>
  <c r="T43"/>
  <c r="U43"/>
  <c r="O45"/>
  <c r="O25"/>
  <c r="P54"/>
  <c r="Q25"/>
  <c r="Q54"/>
  <c r="R31"/>
  <c r="T31"/>
  <c r="M54"/>
  <c r="O31"/>
  <c r="T55"/>
  <c r="U55"/>
  <c r="L9"/>
  <c r="L45"/>
  <c r="T66"/>
  <c r="U66"/>
  <c r="H45"/>
  <c r="J31"/>
  <c r="I45"/>
  <c r="H9"/>
  <c r="T16"/>
  <c r="U16"/>
  <c r="T15"/>
  <c r="U15"/>
  <c r="T13"/>
  <c r="U13"/>
  <c r="S45"/>
  <c r="G45"/>
  <c r="E45"/>
  <c r="D45"/>
  <c r="C45"/>
  <c r="N9"/>
  <c r="S9"/>
  <c r="J14"/>
  <c r="J12"/>
  <c r="K14"/>
  <c r="K12"/>
  <c r="L14"/>
  <c r="L12"/>
  <c r="M14"/>
  <c r="M12"/>
  <c r="N14"/>
  <c r="N12"/>
  <c r="O14"/>
  <c r="O12"/>
  <c r="P14"/>
  <c r="P12"/>
  <c r="Q14"/>
  <c r="Q12"/>
  <c r="R14"/>
  <c r="R12"/>
  <c r="S14"/>
  <c r="S12"/>
  <c r="G14"/>
  <c r="G12"/>
  <c r="J21"/>
  <c r="J18"/>
  <c r="K21"/>
  <c r="K18"/>
  <c r="N18"/>
  <c r="O18"/>
  <c r="P18"/>
  <c r="Q21"/>
  <c r="Q18"/>
  <c r="R21"/>
  <c r="R18"/>
  <c r="G21"/>
  <c r="G18"/>
  <c r="J25"/>
  <c r="K25"/>
  <c r="M25"/>
  <c r="P25"/>
  <c r="S25"/>
  <c r="G25"/>
  <c r="K31"/>
  <c r="S31"/>
  <c r="G31"/>
  <c r="H31"/>
  <c r="E31"/>
  <c r="D31" s="1"/>
  <c r="C31" s="1"/>
  <c r="E54"/>
  <c r="D54"/>
  <c r="C54"/>
  <c r="L54"/>
  <c r="S54"/>
  <c r="I54"/>
  <c r="H54"/>
  <c r="G54"/>
  <c r="F54"/>
  <c r="D71"/>
  <c r="C71"/>
  <c r="D69"/>
  <c r="C69"/>
  <c r="D68"/>
  <c r="C68"/>
  <c r="I25"/>
  <c r="D51"/>
  <c r="C51"/>
  <c r="H14"/>
  <c r="H12"/>
  <c r="H77"/>
  <c r="H21"/>
  <c r="H18"/>
  <c r="F14"/>
  <c r="F12"/>
  <c r="F21"/>
  <c r="F18"/>
  <c r="F25"/>
  <c r="D66"/>
  <c r="C66"/>
  <c r="E9"/>
  <c r="D9"/>
  <c r="C9"/>
  <c r="E21"/>
  <c r="E18" s="1"/>
  <c r="E25"/>
  <c r="D25" s="1"/>
  <c r="C25" s="1"/>
  <c r="D43"/>
  <c r="C43"/>
  <c r="D74"/>
  <c r="C74"/>
  <c r="D20"/>
  <c r="C20"/>
  <c r="D50"/>
  <c r="C50"/>
  <c r="D49"/>
  <c r="C49"/>
  <c r="D67"/>
  <c r="C67"/>
  <c r="D65"/>
  <c r="C65"/>
  <c r="D42"/>
  <c r="C42"/>
  <c r="D76"/>
  <c r="C76"/>
  <c r="D73"/>
  <c r="C73" s="1"/>
  <c r="D24"/>
  <c r="D23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48"/>
  <c r="C48"/>
  <c r="D46"/>
  <c r="C46"/>
  <c r="D44"/>
  <c r="C44"/>
  <c r="D41"/>
  <c r="C41"/>
  <c r="D40"/>
  <c r="C40"/>
  <c r="D39"/>
  <c r="C39"/>
  <c r="D36"/>
  <c r="C36"/>
  <c r="D35"/>
  <c r="C35"/>
  <c r="D34"/>
  <c r="C34"/>
  <c r="D33"/>
  <c r="C33"/>
  <c r="D32"/>
  <c r="C32" s="1"/>
  <c r="D30"/>
  <c r="C30" s="1"/>
  <c r="D29"/>
  <c r="C29"/>
  <c r="D28"/>
  <c r="C28"/>
  <c r="D27"/>
  <c r="C27"/>
  <c r="D26"/>
  <c r="C26"/>
  <c r="D5"/>
  <c r="C5"/>
  <c r="D8"/>
  <c r="C8"/>
  <c r="D17"/>
  <c r="C17"/>
  <c r="D72"/>
  <c r="C72"/>
  <c r="D19"/>
  <c r="C19"/>
  <c r="D13"/>
  <c r="C13"/>
  <c r="D11"/>
  <c r="C11"/>
  <c r="D10"/>
  <c r="C10"/>
  <c r="D22"/>
  <c r="D15"/>
  <c r="D16"/>
  <c r="D47"/>
  <c r="C47"/>
  <c r="I14"/>
  <c r="I12"/>
  <c r="I77"/>
  <c r="N25"/>
  <c r="J54"/>
  <c r="L25"/>
  <c r="M9"/>
  <c r="H25"/>
  <c r="M31"/>
  <c r="O54"/>
  <c r="R45"/>
  <c r="T45"/>
  <c r="U45"/>
  <c r="T20"/>
  <c r="U20"/>
  <c r="N31"/>
  <c r="T27"/>
  <c r="U27"/>
  <c r="T33"/>
  <c r="U33"/>
  <c r="K54"/>
  <c r="T46"/>
  <c r="U46"/>
  <c r="E13" i="7"/>
  <c r="D13"/>
  <c r="C13"/>
  <c r="E19"/>
  <c r="D19"/>
  <c r="C19"/>
  <c r="T14" i="1"/>
  <c r="U14"/>
  <c r="E12"/>
  <c r="D12"/>
  <c r="C12"/>
  <c r="T5"/>
  <c r="U5"/>
  <c r="T11"/>
  <c r="U11"/>
  <c r="E78" i="7"/>
  <c r="D78"/>
  <c r="C78"/>
  <c r="D83"/>
  <c r="C39"/>
  <c r="C38"/>
  <c r="T56" i="1"/>
  <c r="U56"/>
  <c r="N45"/>
  <c r="T54"/>
  <c r="U54"/>
  <c r="F77"/>
  <c r="P77"/>
  <c r="N77"/>
  <c r="L77"/>
  <c r="J77"/>
  <c r="O77"/>
  <c r="M77"/>
  <c r="K77"/>
  <c r="G77"/>
  <c r="Q77"/>
  <c r="U9"/>
  <c r="T12"/>
  <c r="U12"/>
  <c r="T25"/>
  <c r="R77"/>
  <c r="T77" l="1"/>
  <c r="U25"/>
  <c r="D77"/>
  <c r="D18"/>
  <c r="C18" s="1"/>
  <c r="D21"/>
  <c r="C21" s="1"/>
  <c r="U31"/>
  <c r="T18"/>
  <c r="V77" l="1"/>
  <c r="U18"/>
  <c r="D82"/>
  <c r="C77"/>
  <c r="C37" l="1"/>
  <c r="C38"/>
</calcChain>
</file>

<file path=xl/comments1.xml><?xml version="1.0" encoding="utf-8"?>
<comments xmlns="http://schemas.openxmlformats.org/spreadsheetml/2006/main">
  <authors>
    <author>Владелец</author>
    <author>Максим</author>
    <author>Админ</author>
  </authors>
  <commentList>
    <comment ref="R13" authorId="0">
      <text>
        <r>
          <rPr>
            <b/>
            <sz val="9"/>
            <color indexed="81"/>
            <rFont val="Tahoma"/>
            <charset val="1"/>
          </rPr>
          <t>Владелец: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ПК, регистрация доменов
</t>
        </r>
      </text>
    </comment>
    <comment ref="F51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Насосы</t>
        </r>
      </text>
    </comment>
    <comment ref="N51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УУТЭ</t>
        </r>
      </text>
    </comment>
    <comment ref="F73" authorId="1">
      <text>
        <r>
          <rPr>
            <b/>
            <sz val="9"/>
            <color indexed="81"/>
            <rFont val="Tahoma"/>
            <family val="2"/>
            <charset val="204"/>
          </rPr>
          <t>Максим:</t>
        </r>
        <r>
          <rPr>
            <sz val="9"/>
            <color indexed="81"/>
            <rFont val="Tahoma"/>
            <family val="2"/>
            <charset val="204"/>
          </rPr>
          <t xml:space="preserve">
Снегоотбрасыватель</t>
        </r>
      </text>
    </comment>
    <comment ref="H73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Печать
</t>
        </r>
      </text>
    </comment>
    <comment ref="J73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Рукоход, карманы пластиковые, 400 ст.10.3
</t>
        </r>
      </text>
    </comment>
    <comment ref="L73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Рукоход,
эл.питания Энергоцентр</t>
        </r>
      </text>
    </comment>
    <comment ref="M73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Информац.
Табличка-1100,
Проектиров узла учета-18087,85
</t>
        </r>
      </text>
    </comment>
    <comment ref="N73" authorId="2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спортинвентарь
</t>
        </r>
      </text>
    </comment>
    <comment ref="O73" authorId="0">
      <text>
        <r>
          <rPr>
            <b/>
            <sz val="9"/>
            <color indexed="81"/>
            <rFont val="Tahoma"/>
            <family val="2"/>
            <charset val="204"/>
          </rPr>
          <t>Владелец:</t>
        </r>
        <r>
          <rPr>
            <sz val="9"/>
            <color indexed="81"/>
            <rFont val="Tahoma"/>
            <family val="2"/>
            <charset val="204"/>
          </rPr>
          <t xml:space="preserve">
Проект.ИТП</t>
        </r>
      </text>
    </comment>
    <comment ref="P73" authorId="2">
      <text>
        <r>
          <rPr>
            <b/>
            <sz val="9"/>
            <color indexed="81"/>
            <rFont val="Tahoma"/>
            <family val="2"/>
            <charset val="204"/>
          </rPr>
          <t>Админ:</t>
        </r>
        <r>
          <rPr>
            <sz val="9"/>
            <color indexed="81"/>
            <rFont val="Tahoma"/>
            <family val="2"/>
            <charset val="204"/>
          </rPr>
          <t xml:space="preserve">
Эл.магнит.замок СБ Арсенал, Проект ИТП
</t>
        </r>
      </text>
    </comment>
    <comment ref="S73" authorId="1">
      <text>
        <r>
          <rPr>
            <b/>
            <sz val="9"/>
            <color indexed="81"/>
            <rFont val="Tahoma"/>
            <charset val="1"/>
          </rPr>
          <t>Максим:</t>
        </r>
        <r>
          <rPr>
            <sz val="9"/>
            <color indexed="81"/>
            <rFont val="Tahoma"/>
            <charset val="1"/>
          </rPr>
          <t xml:space="preserve">
Установка светильников в подъездах и перенос почтовых ящиков</t>
        </r>
      </text>
    </comment>
  </commentList>
</comments>
</file>

<file path=xl/sharedStrings.xml><?xml version="1.0" encoding="utf-8"?>
<sst xmlns="http://schemas.openxmlformats.org/spreadsheetml/2006/main" count="312" uniqueCount="167">
  <si>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</si>
  <si>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</si>
  <si>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</si>
  <si>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</si>
  <si>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</si>
  <si>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Услуги связи:</t>
  </si>
  <si>
    <t>почтовые расходы</t>
  </si>
  <si>
    <t>Транспортные расходы:</t>
  </si>
  <si>
    <t>на обслуживание аппарата ТСЖ</t>
  </si>
  <si>
    <t>командировочные</t>
  </si>
  <si>
    <t>суточные</t>
  </si>
  <si>
    <t>Обязательное обучение обслуживающего персонала, повышение квалификации</t>
  </si>
  <si>
    <t>Хозяйственные расходы:</t>
  </si>
  <si>
    <t>мастера по уборке придомовой территории (перчатки, СМС и т.д.)</t>
  </si>
  <si>
    <t>мастера по уборке лестничных клеток (перчатки, СМС и т.д.)</t>
  </si>
  <si>
    <t>озеленитель (перчатки, ГСМ, расходные материалы для бензокосилки и т.д.)</t>
  </si>
  <si>
    <t>слесарь-сантехник (перчатки, СМС)</t>
  </si>
  <si>
    <t>Техническое обслуживание, наладка сложного инженерного оборудования, гос. поверка (по договорам):</t>
  </si>
  <si>
    <t>обслуживание охранной и пожарной сигнализации</t>
  </si>
  <si>
    <t>обслуживание водонагнетателей</t>
  </si>
  <si>
    <t>обслуживание антенного оборудования и телекоммуникаций</t>
  </si>
  <si>
    <t>обслуживание систем вентиллирования</t>
  </si>
  <si>
    <t>обслуживание газового оборудования</t>
  </si>
  <si>
    <t>откачка нечистот и чистка колодцев</t>
  </si>
  <si>
    <t>погрузочно-разгрузочные работы</t>
  </si>
  <si>
    <t>закупка насаждений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</si>
  <si>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</si>
  <si>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</si>
  <si>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</si>
  <si>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</si>
  <si>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тариф на содержание общего имущества МКД за 1 кв.м общей площади в месяц:</t>
  </si>
  <si>
    <t>руб.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</si>
  <si>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</si>
  <si>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</si>
  <si>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</si>
  <si>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</si>
  <si>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</si>
  <si>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</si>
  <si>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</si>
  <si>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</si>
  <si>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</si>
  <si>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</si>
  <si>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</si>
  <si>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</si>
  <si>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</si>
  <si>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5.1</t>
  </si>
  <si>
    <t>5.2</t>
  </si>
  <si>
    <t>8.1</t>
  </si>
  <si>
    <t>8.2</t>
  </si>
  <si>
    <t>8.3</t>
  </si>
  <si>
    <t>9.1</t>
  </si>
  <si>
    <t>9.2</t>
  </si>
  <si>
    <t>9.3</t>
  </si>
  <si>
    <t>9.4</t>
  </si>
  <si>
    <t>9.5</t>
  </si>
  <si>
    <t>обслуживание ПК и програмного обеспечения</t>
  </si>
  <si>
    <t>10.1</t>
  </si>
  <si>
    <t>10.2</t>
  </si>
  <si>
    <t>10.3</t>
  </si>
  <si>
    <t>11.1</t>
  </si>
  <si>
    <t>11.2</t>
  </si>
  <si>
    <t>11.3</t>
  </si>
  <si>
    <t>11.4</t>
  </si>
  <si>
    <t>11.5</t>
  </si>
  <si>
    <t>11.6</t>
  </si>
  <si>
    <t>11.7</t>
  </si>
  <si>
    <t>11.8</t>
  </si>
  <si>
    <t>Тариф за 1 кв.м в месяц</t>
  </si>
  <si>
    <t>приобретение програмного обеспечения и оргтехники</t>
  </si>
  <si>
    <t>Канцелярские расходы, приобретение и обслуживание оргтехники:</t>
  </si>
  <si>
    <t>продление KIS 2011</t>
  </si>
  <si>
    <t>компенсация ГСМ</t>
  </si>
  <si>
    <t>содержание оргтехники (заправки картриджей, запасные части и т.д.)</t>
  </si>
  <si>
    <t>10.4</t>
  </si>
  <si>
    <t>очистка кровли от снега и мусора</t>
  </si>
  <si>
    <t>10.5</t>
  </si>
  <si>
    <t>закупка и ремонт почтовых ящиков</t>
  </si>
  <si>
    <t>благоустройство офиса (мебель, перегородки и др.)</t>
  </si>
  <si>
    <t>обслуживание домофонов и дверей подъездов</t>
  </si>
  <si>
    <t>10.6</t>
  </si>
  <si>
    <t>строительные материалы (плитка, клей, краска, гидроизоляция, теплоизоляция и т.д.)</t>
  </si>
  <si>
    <t>сварочные работы трубопроводов, фланцев для задвижек, водонагревателей</t>
  </si>
  <si>
    <t>10.7</t>
  </si>
  <si>
    <t>дезинфекция и дератизация подвальных помещений</t>
  </si>
  <si>
    <t>спец. одежда для персонала</t>
  </si>
  <si>
    <t>песок для песочниц, земля для газонов, пастосмесь противогололедная</t>
  </si>
  <si>
    <t>дорожные работы (асфальт, щебень, наем спецтехники)</t>
  </si>
  <si>
    <t>электротехнические материалы:</t>
  </si>
  <si>
    <t>канцтовары (бумага, ручки и т.д.)</t>
  </si>
  <si>
    <t xml:space="preserve">январь </t>
  </si>
  <si>
    <t>опрессовка системы отопления и ГВС</t>
  </si>
  <si>
    <t>заделка межпанельных швов, окрашивние фасада</t>
  </si>
  <si>
    <t>Расходы на проектирование котельного оборудования</t>
  </si>
  <si>
    <t>комплектующие и другое</t>
  </si>
  <si>
    <t>1С 8.2 обновления (подписка)</t>
  </si>
  <si>
    <t>ремонт кровли</t>
  </si>
  <si>
    <t>телефон, интернет, передача отчетности по ИТС</t>
  </si>
  <si>
    <t>установка и обслуживание системы дворового и офисного видеонаблюдения</t>
  </si>
  <si>
    <t>охрана общедомового имущества на дворовой территории</t>
  </si>
  <si>
    <t>обслуживание узла учета тепловой энергии и воды, поверка</t>
  </si>
  <si>
    <t>обслуживание, поверка приборов учета электроэнергии</t>
  </si>
  <si>
    <t>обслуживание, поверка манометров, термометров</t>
  </si>
  <si>
    <t>Приобретение оборудования,  материалов, запчастей и другое:</t>
  </si>
  <si>
    <t>10.8</t>
  </si>
  <si>
    <t>усиление ограждения спортивной площадки</t>
  </si>
  <si>
    <t>Услуги банка и платежных систем, нотариальные услуги, юстиция</t>
  </si>
  <si>
    <t>Фонд оплаты труда с начислениями обслуживающему персоналу</t>
  </si>
  <si>
    <t>6</t>
  </si>
  <si>
    <t>7</t>
  </si>
  <si>
    <t>8</t>
  </si>
  <si>
    <t>9</t>
  </si>
  <si>
    <t>10</t>
  </si>
  <si>
    <t>11</t>
  </si>
  <si>
    <t>12</t>
  </si>
  <si>
    <t>Остаток средств по статье "Содержание и ремонт жилья" за 2012 год</t>
  </si>
  <si>
    <t>На основании сметы расходов на 2013 г. Правление ТСЖ предлагает утвердить</t>
  </si>
  <si>
    <t>техническому содержанию и ремонту общего имущества многоквартирного дома на 2013 год</t>
  </si>
  <si>
    <t>Вознаграждение председателю правления ТСЖ</t>
  </si>
  <si>
    <t>Налоговые и иные обязательные платежи с ФОТ и вознаграждения</t>
  </si>
  <si>
    <t>Плановый доход от хозяйственной деятельности</t>
  </si>
  <si>
    <t>Налоговые и иные платежи с доходов от хозяйственной деятельности</t>
  </si>
  <si>
    <t>теплообменник пластинчатый для ГВС с проектом и обвязкой</t>
  </si>
  <si>
    <t>остекление, ремонт оконных рам</t>
  </si>
  <si>
    <t>установка ограждений клумб 270 пог.м.</t>
  </si>
  <si>
    <t>асфальтирование спортивной площадки под покрытие</t>
  </si>
  <si>
    <t>окрашивание и ремонт лавочек, детского игрового оборудования, ограждений, дверей</t>
  </si>
  <si>
    <t>установка заградительных устройств на канализационных колодцах</t>
  </si>
  <si>
    <t>Обслуживание и благоустройство мест общего пользования:</t>
  </si>
  <si>
    <t>текущий ремонт в подъездах</t>
  </si>
  <si>
    <t>устройство травмобезапасного покрытия спортивной площадки</t>
  </si>
  <si>
    <t>сантехническое оборудование (без теплообменника)</t>
  </si>
  <si>
    <t>6.1</t>
  </si>
  <si>
    <t>6.2</t>
  </si>
  <si>
    <t>6.2.1</t>
  </si>
  <si>
    <t>6.2.2</t>
  </si>
  <si>
    <t>8.3.1</t>
  </si>
  <si>
    <t>8.3.2</t>
  </si>
  <si>
    <t>8.3.3</t>
  </si>
  <si>
    <t>10.9</t>
  </si>
  <si>
    <t>10.10</t>
  </si>
  <si>
    <t>10.11</t>
  </si>
  <si>
    <t>10.12</t>
  </si>
  <si>
    <t>10.13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</si>
  <si>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</si>
  <si>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</si>
  <si>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</si>
  <si>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</si>
  <si>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</si>
  <si>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</si>
  <si>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</si>
  <si>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</si>
  <si>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</si>
  <si>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</si>
  <si>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</si>
  <si>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</si>
  <si>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</si>
  <si>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</si>
  <si>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</si>
  <si>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</si>
  <si>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</si>
  <si>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в январе 2013 за декабрь 2012г.</t>
  </si>
  <si>
    <t>приобретение и установка новых лавок перед подъездами 12 шт.</t>
  </si>
  <si>
    <t>в январе 2014 за декабрь 2013г.</t>
  </si>
  <si>
    <t>Сумма расходов по месяцам 2013 года, руб.</t>
  </si>
  <si>
    <t>Тариф за     1 кв.м        в месяц</t>
  </si>
  <si>
    <t>Утверждено:                             Решением общего собрания членов ТСЖ "ПРОСТОР"                                    от 02-03 февраля 2013г.</t>
  </si>
  <si>
    <t>дезинсекция и дератизация подвальных помещений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</si>
</sst>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9"/>
      <name val="Arial Cyr"/>
      <charset val="204"/>
    </font>
    <font>
      <i/>
      <sz val="9"/>
      <color indexed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" fontId="5" fillId="3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1" fontId="3" fillId="0" borderId="14" xfId="0" applyNumberFormat="1" applyFont="1" applyBorder="1"/>
    <xf numFmtId="0" fontId="5" fillId="3" borderId="15" xfId="0" applyFont="1" applyFill="1" applyBorder="1" applyAlignment="1">
      <alignment horizontal="center" vertical="center"/>
    </xf>
    <xf numFmtId="1" fontId="5" fillId="0" borderId="16" xfId="0" applyNumberFormat="1" applyFont="1" applyBorder="1"/>
    <xf numFmtId="1" fontId="5" fillId="0" borderId="17" xfId="0" applyNumberFormat="1" applyFont="1" applyBorder="1"/>
    <xf numFmtId="1" fontId="3" fillId="0" borderId="18" xfId="0" applyNumberFormat="1" applyFont="1" applyBorder="1"/>
    <xf numFmtId="1" fontId="5" fillId="4" borderId="19" xfId="0" applyNumberFormat="1" applyFont="1" applyFill="1" applyBorder="1"/>
    <xf numFmtId="0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7" fillId="0" borderId="26" xfId="0" applyNumberFormat="1" applyFont="1" applyBorder="1" applyAlignment="1">
      <alignment horizontal="center"/>
    </xf>
    <xf numFmtId="0" fontId="5" fillId="5" borderId="28" xfId="0" applyFont="1" applyFill="1" applyBorder="1"/>
    <xf numFmtId="0" fontId="5" fillId="5" borderId="29" xfId="0" applyFont="1" applyFill="1" applyBorder="1"/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" fontId="7" fillId="0" borderId="27" xfId="0" applyNumberFormat="1" applyFont="1" applyBorder="1" applyAlignment="1">
      <alignment horizontal="center"/>
    </xf>
    <xf numFmtId="0" fontId="7" fillId="0" borderId="33" xfId="0" applyFont="1" applyBorder="1"/>
    <xf numFmtId="0" fontId="7" fillId="0" borderId="34" xfId="0" applyFont="1" applyBorder="1"/>
    <xf numFmtId="1" fontId="7" fillId="0" borderId="14" xfId="0" applyNumberFormat="1" applyFont="1" applyBorder="1"/>
    <xf numFmtId="0" fontId="7" fillId="0" borderId="0" xfId="0" applyFont="1"/>
    <xf numFmtId="2" fontId="5" fillId="5" borderId="35" xfId="0" applyNumberFormat="1" applyFon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0" fontId="1" fillId="5" borderId="36" xfId="0" applyNumberFormat="1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" fontId="7" fillId="0" borderId="18" xfId="0" applyNumberFormat="1" applyFont="1" applyBorder="1"/>
    <xf numFmtId="0" fontId="7" fillId="0" borderId="1" xfId="0" applyFont="1" applyFill="1" applyBorder="1" applyAlignment="1">
      <alignment horizontal="left"/>
    </xf>
    <xf numFmtId="0" fontId="1" fillId="0" borderId="40" xfId="0" applyNumberFormat="1" applyFont="1" applyFill="1" applyBorder="1" applyAlignment="1"/>
    <xf numFmtId="0" fontId="7" fillId="0" borderId="34" xfId="0" applyNumberFormat="1" applyFont="1" applyFill="1" applyBorder="1" applyAlignment="1"/>
    <xf numFmtId="0" fontId="1" fillId="0" borderId="40" xfId="0" applyFont="1" applyFill="1" applyBorder="1" applyAlignment="1"/>
    <xf numFmtId="0" fontId="1" fillId="0" borderId="40" xfId="0" applyFont="1" applyFill="1" applyBorder="1" applyAlignment="1">
      <alignment vertical="center"/>
    </xf>
    <xf numFmtId="0" fontId="7" fillId="0" borderId="34" xfId="0" applyFont="1" applyFill="1" applyBorder="1" applyAlignment="1"/>
    <xf numFmtId="0" fontId="3" fillId="0" borderId="31" xfId="0" applyFont="1" applyBorder="1" applyAlignment="1">
      <alignment horizontal="left"/>
    </xf>
    <xf numFmtId="2" fontId="3" fillId="0" borderId="4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1" fontId="5" fillId="5" borderId="16" xfId="0" applyNumberFormat="1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0" fontId="5" fillId="0" borderId="40" xfId="0" applyFont="1" applyFill="1" applyBorder="1"/>
    <xf numFmtId="16" fontId="5" fillId="3" borderId="45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/>
    <xf numFmtId="0" fontId="7" fillId="0" borderId="47" xfId="0" applyFont="1" applyFill="1" applyBorder="1" applyAlignment="1"/>
    <xf numFmtId="0" fontId="5" fillId="5" borderId="48" xfId="0" applyFont="1" applyFill="1" applyBorder="1"/>
    <xf numFmtId="16" fontId="5" fillId="3" borderId="49" xfId="0" applyNumberFormat="1" applyFont="1" applyFill="1" applyBorder="1" applyAlignment="1">
      <alignment horizontal="center" vertical="distributed"/>
    </xf>
    <xf numFmtId="0" fontId="5" fillId="0" borderId="8" xfId="0" applyFont="1" applyFill="1" applyBorder="1"/>
    <xf numFmtId="1" fontId="5" fillId="0" borderId="8" xfId="0" applyNumberFormat="1" applyFont="1" applyFill="1" applyBorder="1"/>
    <xf numFmtId="0" fontId="7" fillId="0" borderId="34" xfId="0" applyFont="1" applyFill="1" applyBorder="1"/>
    <xf numFmtId="0" fontId="7" fillId="0" borderId="50" xfId="0" applyFont="1" applyFill="1" applyBorder="1"/>
    <xf numFmtId="0" fontId="3" fillId="0" borderId="34" xfId="0" applyNumberFormat="1" applyFont="1" applyFill="1" applyBorder="1" applyAlignment="1"/>
    <xf numFmtId="0" fontId="3" fillId="0" borderId="51" xfId="0" applyNumberFormat="1" applyFont="1" applyFill="1" applyBorder="1" applyAlignment="1"/>
    <xf numFmtId="0" fontId="3" fillId="0" borderId="34" xfId="0" applyFont="1" applyFill="1" applyBorder="1" applyAlignment="1"/>
    <xf numFmtId="0" fontId="8" fillId="0" borderId="34" xfId="0" applyFont="1" applyFill="1" applyBorder="1" applyAlignment="1"/>
    <xf numFmtId="0" fontId="7" fillId="0" borderId="50" xfId="0" applyFont="1" applyFill="1" applyBorder="1" applyAlignment="1"/>
    <xf numFmtId="0" fontId="5" fillId="0" borderId="45" xfId="0" applyFont="1" applyFill="1" applyBorder="1"/>
    <xf numFmtId="0" fontId="7" fillId="0" borderId="52" xfId="0" applyFont="1" applyFill="1" applyBorder="1" applyAlignment="1"/>
    <xf numFmtId="0" fontId="5" fillId="0" borderId="49" xfId="0" applyFont="1" applyFill="1" applyBorder="1"/>
    <xf numFmtId="2" fontId="7" fillId="0" borderId="0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0" fontId="7" fillId="0" borderId="48" xfId="0" applyFont="1" applyFill="1" applyBorder="1" applyAlignment="1"/>
    <xf numFmtId="0" fontId="7" fillId="0" borderId="29" xfId="0" applyFont="1" applyFill="1" applyBorder="1" applyAlignment="1"/>
    <xf numFmtId="2" fontId="7" fillId="0" borderId="54" xfId="0" applyNumberFormat="1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Border="1" applyAlignment="1">
      <alignment horizontal="left"/>
    </xf>
    <xf numFmtId="2" fontId="7" fillId="0" borderId="58" xfId="0" applyNumberFormat="1" applyFont="1" applyBorder="1" applyAlignment="1">
      <alignment horizontal="center"/>
    </xf>
    <xf numFmtId="1" fontId="7" fillId="0" borderId="59" xfId="0" applyNumberFormat="1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5" borderId="60" xfId="0" applyFont="1" applyFill="1" applyBorder="1"/>
    <xf numFmtId="0" fontId="3" fillId="0" borderId="33" xfId="0" applyFont="1" applyBorder="1"/>
    <xf numFmtId="0" fontId="1" fillId="0" borderId="61" xfId="0" applyFont="1" applyFill="1" applyBorder="1" applyAlignment="1"/>
    <xf numFmtId="0" fontId="1" fillId="0" borderId="61" xfId="0" applyFont="1" applyFill="1" applyBorder="1" applyAlignment="1">
      <alignment vertical="center"/>
    </xf>
    <xf numFmtId="0" fontId="7" fillId="0" borderId="58" xfId="0" applyFont="1" applyFill="1" applyBorder="1" applyAlignment="1"/>
    <xf numFmtId="0" fontId="1" fillId="0" borderId="62" xfId="0" applyFont="1" applyFill="1" applyBorder="1" applyAlignment="1"/>
    <xf numFmtId="1" fontId="7" fillId="0" borderId="63" xfId="0" applyNumberFormat="1" applyFont="1" applyBorder="1"/>
    <xf numFmtId="1" fontId="5" fillId="0" borderId="64" xfId="0" applyNumberFormat="1" applyFont="1" applyBorder="1"/>
    <xf numFmtId="1" fontId="5" fillId="0" borderId="65" xfId="0" applyNumberFormat="1" applyFont="1" applyBorder="1"/>
    <xf numFmtId="1" fontId="5" fillId="0" borderId="65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3" borderId="29" xfId="0" applyNumberFormat="1" applyFont="1" applyFill="1" applyBorder="1"/>
    <xf numFmtId="1" fontId="0" fillId="0" borderId="0" xfId="0" applyNumberFormat="1"/>
    <xf numFmtId="1" fontId="4" fillId="0" borderId="0" xfId="0" applyNumberFormat="1" applyFont="1"/>
    <xf numFmtId="2" fontId="4" fillId="0" borderId="0" xfId="0" applyNumberFormat="1" applyFont="1"/>
    <xf numFmtId="0" fontId="6" fillId="0" borderId="0" xfId="0" applyFont="1" applyBorder="1" applyAlignment="1"/>
    <xf numFmtId="0" fontId="0" fillId="0" borderId="0" xfId="0" applyFill="1"/>
    <xf numFmtId="0" fontId="5" fillId="0" borderId="24" xfId="0" applyFont="1" applyFill="1" applyBorder="1"/>
    <xf numFmtId="0" fontId="7" fillId="0" borderId="58" xfId="0" applyFont="1" applyFill="1" applyBorder="1"/>
    <xf numFmtId="0" fontId="7" fillId="0" borderId="66" xfId="0" applyFont="1" applyFill="1" applyBorder="1"/>
    <xf numFmtId="0" fontId="7" fillId="0" borderId="58" xfId="0" applyNumberFormat="1" applyFont="1" applyFill="1" applyBorder="1" applyAlignment="1"/>
    <xf numFmtId="0" fontId="3" fillId="0" borderId="58" xfId="0" applyNumberFormat="1" applyFont="1" applyFill="1" applyBorder="1" applyAlignment="1"/>
    <xf numFmtId="0" fontId="3" fillId="0" borderId="67" xfId="0" applyNumberFormat="1" applyFont="1" applyFill="1" applyBorder="1" applyAlignment="1"/>
    <xf numFmtId="0" fontId="7" fillId="0" borderId="0" xfId="0" applyFont="1" applyFill="1"/>
    <xf numFmtId="0" fontId="3" fillId="0" borderId="58" xfId="0" applyFont="1" applyFill="1" applyBorder="1" applyAlignment="1"/>
    <xf numFmtId="0" fontId="7" fillId="0" borderId="66" xfId="0" applyFont="1" applyFill="1" applyBorder="1" applyAlignment="1"/>
    <xf numFmtId="0" fontId="7" fillId="0" borderId="68" xfId="0" applyFont="1" applyFill="1" applyBorder="1" applyAlignment="1"/>
    <xf numFmtId="0" fontId="7" fillId="0" borderId="0" xfId="0" applyFont="1" applyFill="1" applyBorder="1" applyAlignment="1"/>
    <xf numFmtId="0" fontId="5" fillId="0" borderId="69" xfId="0" applyFont="1" applyFill="1" applyBorder="1"/>
    <xf numFmtId="0" fontId="5" fillId="0" borderId="35" xfId="0" applyFont="1" applyFill="1" applyBorder="1"/>
    <xf numFmtId="1" fontId="5" fillId="0" borderId="13" xfId="0" applyNumberFormat="1" applyFont="1" applyBorder="1"/>
    <xf numFmtId="0" fontId="0" fillId="0" borderId="70" xfId="0" applyFill="1" applyBorder="1"/>
    <xf numFmtId="0" fontId="5" fillId="0" borderId="71" xfId="0" applyFont="1" applyFill="1" applyBorder="1"/>
    <xf numFmtId="1" fontId="5" fillId="7" borderId="16" xfId="0" applyNumberFormat="1" applyFont="1" applyFill="1" applyBorder="1"/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/>
    <xf numFmtId="0" fontId="7" fillId="0" borderId="0" xfId="0" applyFont="1" applyBorder="1" applyAlignment="1">
      <alignment horizontal="left"/>
    </xf>
    <xf numFmtId="1" fontId="7" fillId="0" borderId="72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73" xfId="0" applyNumberFormat="1" applyFont="1" applyBorder="1" applyAlignment="1">
      <alignment horizontal="center" vertical="center"/>
    </xf>
    <xf numFmtId="0" fontId="7" fillId="0" borderId="72" xfId="0" applyFont="1" applyFill="1" applyBorder="1" applyAlignment="1"/>
    <xf numFmtId="2" fontId="7" fillId="0" borderId="34" xfId="0" applyNumberFormat="1" applyFont="1" applyBorder="1" applyAlignment="1">
      <alignment horizontal="center"/>
    </xf>
    <xf numFmtId="2" fontId="7" fillId="0" borderId="74" xfId="0" applyNumberFormat="1" applyFont="1" applyBorder="1" applyAlignment="1">
      <alignment horizontal="center"/>
    </xf>
    <xf numFmtId="0" fontId="1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/>
    </xf>
    <xf numFmtId="2" fontId="1" fillId="0" borderId="24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5" fillId="0" borderId="16" xfId="0" applyNumberFormat="1" applyFont="1" applyFill="1" applyBorder="1"/>
    <xf numFmtId="1" fontId="5" fillId="4" borderId="16" xfId="0" applyNumberFormat="1" applyFont="1" applyFill="1" applyBorder="1"/>
    <xf numFmtId="0" fontId="5" fillId="0" borderId="70" xfId="0" applyFont="1" applyFill="1" applyBorder="1"/>
    <xf numFmtId="0" fontId="5" fillId="0" borderId="75" xfId="0" applyFont="1" applyFill="1" applyBorder="1"/>
    <xf numFmtId="0" fontId="1" fillId="0" borderId="75" xfId="0" applyNumberFormat="1" applyFont="1" applyFill="1" applyBorder="1" applyAlignment="1"/>
    <xf numFmtId="0" fontId="7" fillId="0" borderId="68" xfId="0" applyNumberFormat="1" applyFont="1" applyFill="1" applyBorder="1" applyAlignment="1"/>
    <xf numFmtId="0" fontId="3" fillId="0" borderId="68" xfId="0" applyNumberFormat="1" applyFont="1" applyFill="1" applyBorder="1" applyAlignment="1"/>
    <xf numFmtId="0" fontId="3" fillId="0" borderId="76" xfId="0" applyNumberFormat="1" applyFont="1" applyFill="1" applyBorder="1" applyAlignment="1"/>
    <xf numFmtId="0" fontId="1" fillId="0" borderId="75" xfId="0" applyFont="1" applyFill="1" applyBorder="1" applyAlignment="1"/>
    <xf numFmtId="0" fontId="3" fillId="0" borderId="68" xfId="0" applyFont="1" applyFill="1" applyBorder="1" applyAlignment="1"/>
    <xf numFmtId="0" fontId="7" fillId="0" borderId="77" xfId="0" applyFont="1" applyFill="1" applyBorder="1" applyAlignment="1"/>
    <xf numFmtId="0" fontId="1" fillId="0" borderId="75" xfId="0" applyFont="1" applyFill="1" applyBorder="1" applyAlignment="1">
      <alignment vertical="center"/>
    </xf>
    <xf numFmtId="0" fontId="7" fillId="0" borderId="51" xfId="0" applyFont="1" applyFill="1" applyBorder="1" applyAlignment="1"/>
    <xf numFmtId="0" fontId="13" fillId="0" borderId="24" xfId="0" applyFont="1" applyFill="1" applyBorder="1"/>
    <xf numFmtId="164" fontId="7" fillId="0" borderId="34" xfId="0" applyNumberFormat="1" applyFont="1" applyFill="1" applyBorder="1" applyAlignment="1"/>
    <xf numFmtId="0" fontId="5" fillId="0" borderId="78" xfId="0" applyFont="1" applyFill="1" applyBorder="1"/>
    <xf numFmtId="0" fontId="5" fillId="0" borderId="79" xfId="0" applyFont="1" applyFill="1" applyBorder="1"/>
    <xf numFmtId="0" fontId="5" fillId="0" borderId="80" xfId="0" applyFont="1" applyFill="1" applyBorder="1"/>
    <xf numFmtId="0" fontId="5" fillId="0" borderId="0" xfId="0" applyFont="1" applyFill="1" applyBorder="1"/>
    <xf numFmtId="0" fontId="5" fillId="5" borderId="49" xfId="0" applyFont="1" applyFill="1" applyBorder="1"/>
    <xf numFmtId="0" fontId="5" fillId="5" borderId="45" xfId="0" applyFont="1" applyFill="1" applyBorder="1"/>
    <xf numFmtId="0" fontId="5" fillId="5" borderId="8" xfId="0" applyFont="1" applyFill="1" applyBorder="1"/>
    <xf numFmtId="0" fontId="5" fillId="5" borderId="71" xfId="0" applyFont="1" applyFill="1" applyBorder="1"/>
    <xf numFmtId="1" fontId="5" fillId="0" borderId="19" xfId="0" applyNumberFormat="1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8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5" fillId="3" borderId="7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0" fillId="0" borderId="0" xfId="0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workbookViewId="0">
      <pane xSplit="5" ySplit="4" topLeftCell="G56" activePane="bottomRight" state="frozen"/>
      <selection pane="topRight" activeCell="F1" sqref="F1"/>
      <selection pane="bottomLeft" activeCell="A5" sqref="A5"/>
      <selection pane="bottomRight" activeCell="O81" sqref="O81"/>
    </sheetView>
  </sheetViews>
  <sheetFormatPr defaultRowHeight="12.75" outlineLevelRow="2"/>
  <cols>
    <col min="1" max="1" width="6" bestFit="1" customWidth="1"/>
    <col min="2" max="2" width="77.140625" customWidth="1"/>
    <col min="3" max="3" width="9" customWidth="1"/>
    <col min="4" max="4" width="8.7109375" customWidth="1"/>
    <col min="5" max="5" width="8.140625" customWidth="1"/>
    <col min="6" max="6" width="9.5703125" customWidth="1"/>
    <col min="7" max="7" width="10.5703125" customWidth="1"/>
    <col min="8" max="8" width="10.42578125" customWidth="1"/>
    <col min="9" max="9" width="10.28515625" customWidth="1"/>
    <col min="10" max="10" width="9.28515625" customWidth="1"/>
    <col min="11" max="11" width="10.42578125" customWidth="1"/>
    <col min="12" max="18" width="8.85546875" customWidth="1"/>
    <col min="19" max="19" width="9.7109375" customWidth="1"/>
  </cols>
  <sheetData>
    <row r="1" spans="1:21">
      <c r="A1" s="190" t="s">
        <v>0</v>
      </c>
      <c r="B1" s="190"/>
      <c r="C1" s="190"/>
      <c r="D1" s="190"/>
      <c r="E1" s="190"/>
    </row>
    <row r="2" spans="1:21" ht="13.5" thickBot="1">
      <c r="A2" s="190" t="s">
        <v>116</v>
      </c>
      <c r="B2" s="190"/>
      <c r="C2" s="190"/>
      <c r="D2" s="190"/>
      <c r="E2" s="190"/>
    </row>
    <row r="3" spans="1:21" ht="13.5" thickBot="1">
      <c r="A3" s="191"/>
      <c r="B3" s="191"/>
      <c r="C3" s="191"/>
      <c r="D3" s="191"/>
      <c r="E3" s="191"/>
      <c r="F3" s="197" t="s">
        <v>163</v>
      </c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17"/>
      <c r="T3" s="194" t="s">
        <v>43</v>
      </c>
      <c r="U3" s="194" t="s">
        <v>44</v>
      </c>
    </row>
    <row r="4" spans="1:21" ht="52.15" customHeight="1" thickBot="1">
      <c r="A4" s="9" t="s">
        <v>1</v>
      </c>
      <c r="B4" s="10" t="s">
        <v>2</v>
      </c>
      <c r="C4" s="13" t="s">
        <v>67</v>
      </c>
      <c r="D4" s="13" t="s">
        <v>3</v>
      </c>
      <c r="E4" s="20" t="s">
        <v>4</v>
      </c>
      <c r="F4" s="94" t="s">
        <v>160</v>
      </c>
      <c r="G4" s="90" t="s">
        <v>89</v>
      </c>
      <c r="H4" s="14" t="s">
        <v>32</v>
      </c>
      <c r="I4" s="15" t="s">
        <v>33</v>
      </c>
      <c r="J4" s="14" t="s">
        <v>34</v>
      </c>
      <c r="K4" s="15" t="s">
        <v>35</v>
      </c>
      <c r="L4" s="14" t="s">
        <v>36</v>
      </c>
      <c r="M4" s="15" t="s">
        <v>37</v>
      </c>
      <c r="N4" s="14" t="s">
        <v>38</v>
      </c>
      <c r="O4" s="15" t="s">
        <v>39</v>
      </c>
      <c r="P4" s="14" t="s">
        <v>40</v>
      </c>
      <c r="Q4" s="15" t="s">
        <v>41</v>
      </c>
      <c r="R4" s="22" t="s">
        <v>42</v>
      </c>
      <c r="S4" s="94" t="s">
        <v>162</v>
      </c>
      <c r="T4" s="195"/>
      <c r="U4" s="195"/>
    </row>
    <row r="5" spans="1:21" ht="13.5" thickBot="1">
      <c r="A5" s="27">
        <v>1</v>
      </c>
      <c r="B5" s="6" t="s">
        <v>106</v>
      </c>
      <c r="C5" s="37">
        <f>D5/D79</f>
        <v>4.2934603646293468</v>
      </c>
      <c r="D5" s="16">
        <f t="shared" ref="D5:D43" si="0">E5/12</f>
        <v>106915.75</v>
      </c>
      <c r="E5" s="67">
        <v>1282989</v>
      </c>
      <c r="F5" s="134"/>
      <c r="G5" s="146">
        <f>49122+3480+49230.71-16965</f>
        <v>84867.709999999992</v>
      </c>
      <c r="H5" s="146">
        <f>46463+59645-16965+11612</f>
        <v>100755</v>
      </c>
      <c r="I5" s="146">
        <f>42680-16965+16772</f>
        <v>42487</v>
      </c>
      <c r="J5" s="146">
        <f>56115+47941+60030+11896+16867-16965</f>
        <v>175884</v>
      </c>
      <c r="K5" s="146">
        <f>47941-16965+72301+16722</f>
        <v>119999</v>
      </c>
      <c r="L5" s="146">
        <f>35067+59686-16965</f>
        <v>77788</v>
      </c>
      <c r="M5" s="146">
        <f>50297+87560+18290-16695</f>
        <v>139452</v>
      </c>
      <c r="N5" s="146">
        <f>20731+30839-16695</f>
        <v>34875</v>
      </c>
      <c r="O5" s="146">
        <f>51281+47596+11066-16965</f>
        <v>92978</v>
      </c>
      <c r="P5" s="146">
        <f>74183+45109+19854-16965</f>
        <v>122181</v>
      </c>
      <c r="Q5" s="146">
        <f>61588-16965+44352+16623</f>
        <v>105598</v>
      </c>
      <c r="R5" s="146">
        <f>64329+39775-16965+64432</f>
        <v>151571</v>
      </c>
      <c r="S5" s="147">
        <f>6090+3699+8603</f>
        <v>18392</v>
      </c>
      <c r="T5" s="148">
        <f>SUM(G5:S5)</f>
        <v>1266827.71</v>
      </c>
      <c r="U5" s="148">
        <f>E5-T5</f>
        <v>16161.290000000037</v>
      </c>
    </row>
    <row r="6" spans="1:21" ht="13.5" thickBot="1">
      <c r="A6" s="27">
        <v>2</v>
      </c>
      <c r="B6" s="6" t="s">
        <v>117</v>
      </c>
      <c r="C6" s="37">
        <f>D6/D79</f>
        <v>0.6812705806762509</v>
      </c>
      <c r="D6" s="16">
        <f t="shared" si="0"/>
        <v>16965</v>
      </c>
      <c r="E6" s="67">
        <v>203580</v>
      </c>
      <c r="F6" s="179"/>
      <c r="G6" s="95">
        <v>16965</v>
      </c>
      <c r="H6" s="95">
        <v>16965</v>
      </c>
      <c r="I6" s="95">
        <v>16965</v>
      </c>
      <c r="J6" s="95">
        <f>16965</f>
        <v>16965</v>
      </c>
      <c r="K6" s="95">
        <v>16965</v>
      </c>
      <c r="L6" s="95">
        <v>16965</v>
      </c>
      <c r="M6" s="95">
        <v>16965</v>
      </c>
      <c r="N6" s="95">
        <v>16965</v>
      </c>
      <c r="O6" s="95">
        <v>16965</v>
      </c>
      <c r="P6" s="95">
        <v>16965</v>
      </c>
      <c r="Q6" s="95">
        <v>16965</v>
      </c>
      <c r="R6" s="95">
        <f>16965</f>
        <v>16965</v>
      </c>
      <c r="S6" s="150"/>
      <c r="T6" s="148">
        <f>SUM(G6:S6)</f>
        <v>203580</v>
      </c>
      <c r="U6" s="148">
        <f>E6-T6</f>
        <v>0</v>
      </c>
    </row>
    <row r="7" spans="1:21" ht="13.5" thickBot="1">
      <c r="A7" s="27">
        <v>3</v>
      </c>
      <c r="B7" s="6" t="s">
        <v>118</v>
      </c>
      <c r="C7" s="37">
        <f>D7/D79</f>
        <v>1.7402230075228229</v>
      </c>
      <c r="D7" s="16">
        <f>E7/12</f>
        <v>43335.033333333333</v>
      </c>
      <c r="E7" s="67">
        <v>520020.4</v>
      </c>
      <c r="F7" s="149">
        <f>27142+2728+267</f>
        <v>30137</v>
      </c>
      <c r="G7" s="96">
        <f>7214+8772+251+22648+2857-3385</f>
        <v>38357</v>
      </c>
      <c r="H7" s="96">
        <f>6779+8069</f>
        <v>14848</v>
      </c>
      <c r="I7" s="96">
        <f>277+6229+21810+1368+8.11</f>
        <v>29692.11</v>
      </c>
      <c r="J7" s="96">
        <f>10750+1740+28050+222+6553+11842-448</f>
        <v>58709</v>
      </c>
      <c r="K7" s="95">
        <f>1317+23953+6553+239.71+13360</f>
        <v>45422.71</v>
      </c>
      <c r="L7" s="96">
        <f>5685+9629</f>
        <v>15314</v>
      </c>
      <c r="M7" s="96">
        <f>1317+23953+7557+525.28+17666-2495</f>
        <v>48523.28</v>
      </c>
      <c r="N7" s="96">
        <f>-1326-75+59278+2630+5128+1</f>
        <v>65636</v>
      </c>
      <c r="O7" s="96">
        <f>17273+435.21+884+25000+1317-450</f>
        <v>44459.21</v>
      </c>
      <c r="P7" s="96">
        <f>354+718+20902+12600+6603</f>
        <v>41177</v>
      </c>
      <c r="Q7" s="95">
        <f>363+23150+223+9776+6213</f>
        <v>39725</v>
      </c>
      <c r="R7" s="95">
        <f>23115.06+1319.94+245+10378+7127-1438.34+10135</f>
        <v>50881.66</v>
      </c>
      <c r="S7" s="135">
        <f>21233+1286+50</f>
        <v>22569</v>
      </c>
      <c r="T7" s="23">
        <f>SUM(G7:S7)</f>
        <v>515313.97</v>
      </c>
      <c r="U7" s="23">
        <f>E7-T7</f>
        <v>4706.4300000000512</v>
      </c>
    </row>
    <row r="8" spans="1:21" ht="13.5" thickBot="1">
      <c r="A8" s="27">
        <v>4</v>
      </c>
      <c r="B8" s="6" t="s">
        <v>105</v>
      </c>
      <c r="C8" s="37">
        <f>D8/D79</f>
        <v>0.13385805691644581</v>
      </c>
      <c r="D8" s="16">
        <f t="shared" si="0"/>
        <v>3333.3333333333335</v>
      </c>
      <c r="E8" s="67">
        <v>40000</v>
      </c>
      <c r="F8" s="168"/>
      <c r="G8" s="95">
        <f>500+245.61+77.23+246.15+77.22+750+14+500</f>
        <v>2410.21</v>
      </c>
      <c r="H8" s="95">
        <f>500+530+30+93.53+232.32+720+298.23+82.65+15</f>
        <v>2501.73</v>
      </c>
      <c r="I8" s="95">
        <f>89.48+213.4+500+830</f>
        <v>1632.88</v>
      </c>
      <c r="J8" s="95">
        <f>280.56+20+239.71+15+300.15+15+84.34+95+84.01</f>
        <v>1133.77</v>
      </c>
      <c r="K8" s="95">
        <f>239.71+84.01+15+361.51+25+115.07</f>
        <v>840.3</v>
      </c>
      <c r="L8" s="95">
        <f>175.34+68.79+298.43+86.27+30</f>
        <v>658.82999999999993</v>
      </c>
      <c r="M8" s="95">
        <f>251.49+10+68.79+930+437.8+45+109.94+500</f>
        <v>2353.02</v>
      </c>
      <c r="N8" s="95">
        <f>154.2+63.18+990+500</f>
        <v>1707.38</v>
      </c>
      <c r="O8" s="95">
        <f>256.41+96.76+15+237.98+66.51+810+500</f>
        <v>1982.6599999999999</v>
      </c>
      <c r="P8" s="95">
        <f>370.91+144.45+30+225.55+51.29+780+500</f>
        <v>2102.1999999999998</v>
      </c>
      <c r="Q8" s="95">
        <f>307.94+62+30+240+30+210+221.78+81.01+120+150+500</f>
        <v>1952.73</v>
      </c>
      <c r="R8" s="95">
        <f>321.65+32.5+60+30+198.88+322.16+15</f>
        <v>980.19</v>
      </c>
      <c r="S8" s="135"/>
      <c r="T8" s="23">
        <f t="shared" ref="T8:T20" si="1">SUM(G8:S8)</f>
        <v>20255.899999999998</v>
      </c>
      <c r="U8" s="23">
        <f t="shared" ref="U8:U70" si="2">E8-T8</f>
        <v>19744.100000000002</v>
      </c>
    </row>
    <row r="9" spans="1:21">
      <c r="A9" s="157">
        <v>5</v>
      </c>
      <c r="B9" s="7" t="s">
        <v>5</v>
      </c>
      <c r="C9" s="38">
        <f>D9/D79</f>
        <v>3.0118062806200305E-2</v>
      </c>
      <c r="D9" s="17">
        <f t="shared" si="0"/>
        <v>750</v>
      </c>
      <c r="E9" s="68">
        <f>E10+E11</f>
        <v>9000</v>
      </c>
      <c r="F9" s="169">
        <f>SUM(F10:F11)</f>
        <v>598.25</v>
      </c>
      <c r="G9" s="89">
        <f>SUM(G10:G11)</f>
        <v>660</v>
      </c>
      <c r="H9" s="89">
        <f>SUM(H10:H11)</f>
        <v>604.16</v>
      </c>
      <c r="I9" s="89">
        <f>SUM(I10:I11)</f>
        <v>563.52</v>
      </c>
      <c r="J9" s="89">
        <f t="shared" ref="J9:S9" si="3">SUM(J10:J11)</f>
        <v>774.07</v>
      </c>
      <c r="K9" s="89">
        <f t="shared" si="3"/>
        <v>481.76</v>
      </c>
      <c r="L9" s="89">
        <f t="shared" si="3"/>
        <v>447.78</v>
      </c>
      <c r="M9" s="89">
        <f t="shared" si="3"/>
        <v>545.58000000000004</v>
      </c>
      <c r="N9" s="89">
        <f t="shared" si="3"/>
        <v>701.61</v>
      </c>
      <c r="O9" s="89">
        <f t="shared" si="3"/>
        <v>613.9</v>
      </c>
      <c r="P9" s="89">
        <f t="shared" si="3"/>
        <v>551.25</v>
      </c>
      <c r="Q9" s="89">
        <f t="shared" si="3"/>
        <v>706.77</v>
      </c>
      <c r="R9" s="89">
        <f t="shared" si="3"/>
        <v>707.87</v>
      </c>
      <c r="S9" s="89">
        <f t="shared" si="3"/>
        <v>0</v>
      </c>
      <c r="T9" s="24">
        <f t="shared" si="1"/>
        <v>7358.2699999999995</v>
      </c>
      <c r="U9" s="24">
        <f t="shared" si="2"/>
        <v>1641.7300000000005</v>
      </c>
    </row>
    <row r="10" spans="1:21" s="58" customFormat="1" ht="12" outlineLevel="1">
      <c r="A10" s="32" t="s">
        <v>45</v>
      </c>
      <c r="B10" s="44" t="s">
        <v>96</v>
      </c>
      <c r="C10" s="45">
        <f>D10/D79</f>
        <v>2.3425159960378018E-2</v>
      </c>
      <c r="D10" s="48">
        <f t="shared" si="0"/>
        <v>583.33333333333337</v>
      </c>
      <c r="E10" s="50">
        <v>7000</v>
      </c>
      <c r="F10" s="136">
        <v>500.32</v>
      </c>
      <c r="G10" s="97"/>
      <c r="H10" s="97">
        <v>604.16</v>
      </c>
      <c r="I10" s="97">
        <v>474.18</v>
      </c>
      <c r="J10" s="97">
        <f>476.72</f>
        <v>476.72</v>
      </c>
      <c r="K10" s="97">
        <f>450.76</f>
        <v>450.76</v>
      </c>
      <c r="L10" s="97">
        <f>273.76</f>
        <v>273.76</v>
      </c>
      <c r="M10" s="97">
        <f>545.58</f>
        <v>545.58000000000004</v>
      </c>
      <c r="N10" s="97">
        <f>294.61</f>
        <v>294.61</v>
      </c>
      <c r="O10" s="97">
        <f>398.45</f>
        <v>398.45</v>
      </c>
      <c r="P10" s="97">
        <f>434.81</f>
        <v>434.81</v>
      </c>
      <c r="Q10" s="97">
        <f>706.77</f>
        <v>706.77</v>
      </c>
      <c r="R10" s="97">
        <f>707.87</f>
        <v>707.87</v>
      </c>
      <c r="S10" s="136"/>
      <c r="T10" s="57">
        <f t="shared" si="1"/>
        <v>5367.6699999999992</v>
      </c>
      <c r="U10" s="57">
        <f t="shared" si="2"/>
        <v>1632.3300000000008</v>
      </c>
    </row>
    <row r="11" spans="1:21" s="58" customFormat="1" outlineLevel="1" thickBot="1">
      <c r="A11" s="32" t="s">
        <v>46</v>
      </c>
      <c r="B11" s="53" t="s">
        <v>6</v>
      </c>
      <c r="C11" s="54">
        <f>D11/D79</f>
        <v>6.6929028458222895E-3</v>
      </c>
      <c r="D11" s="49">
        <f t="shared" si="0"/>
        <v>166.66666666666666</v>
      </c>
      <c r="E11" s="69">
        <v>2000</v>
      </c>
      <c r="F11" s="137">
        <f>30.84+30.84+36.25</f>
        <v>97.93</v>
      </c>
      <c r="G11" s="98">
        <f>478.5+181.5</f>
        <v>660</v>
      </c>
      <c r="H11" s="98"/>
      <c r="I11" s="98">
        <f>36.25+53.09</f>
        <v>89.34</v>
      </c>
      <c r="J11" s="98">
        <f>200+38+42.6+16.75</f>
        <v>297.35000000000002</v>
      </c>
      <c r="K11" s="98">
        <f>31</f>
        <v>31</v>
      </c>
      <c r="L11" s="98">
        <f>35.29+35.29+36.35+32.6+34.49</f>
        <v>174.02</v>
      </c>
      <c r="M11" s="98"/>
      <c r="N11" s="98">
        <f>35+372</f>
        <v>407</v>
      </c>
      <c r="O11" s="98">
        <f>51.4+35+35+37.7+36.35+20</f>
        <v>215.45000000000002</v>
      </c>
      <c r="P11" s="98">
        <f>35+35+37.44+9</f>
        <v>116.44</v>
      </c>
      <c r="Q11" s="98"/>
      <c r="R11" s="98"/>
      <c r="S11" s="137"/>
      <c r="T11" s="57">
        <f t="shared" si="1"/>
        <v>1990.6000000000001</v>
      </c>
      <c r="U11" s="70">
        <f t="shared" si="2"/>
        <v>9.3999999999998636</v>
      </c>
    </row>
    <row r="12" spans="1:21">
      <c r="A12" s="28" t="s">
        <v>107</v>
      </c>
      <c r="B12" s="7" t="s">
        <v>7</v>
      </c>
      <c r="C12" s="38">
        <f>D12/D79</f>
        <v>0.15393676545391269</v>
      </c>
      <c r="D12" s="17">
        <f t="shared" si="0"/>
        <v>3833.3333333333335</v>
      </c>
      <c r="E12" s="68">
        <f>SUM(E13:E14)</f>
        <v>46000</v>
      </c>
      <c r="F12" s="170">
        <f t="shared" ref="F12:S12" si="4">SUM(F13:F14)</f>
        <v>0</v>
      </c>
      <c r="G12" s="72">
        <f t="shared" si="4"/>
        <v>0</v>
      </c>
      <c r="H12" s="72">
        <f>SUM(H13:H14)</f>
        <v>6000</v>
      </c>
      <c r="I12" s="72">
        <f t="shared" si="4"/>
        <v>0</v>
      </c>
      <c r="J12" s="72">
        <f t="shared" si="4"/>
        <v>6000</v>
      </c>
      <c r="K12" s="72">
        <f t="shared" si="4"/>
        <v>3000</v>
      </c>
      <c r="L12" s="72">
        <f t="shared" si="4"/>
        <v>3000</v>
      </c>
      <c r="M12" s="72">
        <f t="shared" si="4"/>
        <v>3000</v>
      </c>
      <c r="N12" s="72">
        <f t="shared" si="4"/>
        <v>0</v>
      </c>
      <c r="O12" s="72">
        <f t="shared" si="4"/>
        <v>3900</v>
      </c>
      <c r="P12" s="72">
        <f t="shared" si="4"/>
        <v>3000</v>
      </c>
      <c r="Q12" s="72">
        <f t="shared" si="4"/>
        <v>3000</v>
      </c>
      <c r="R12" s="72">
        <f t="shared" si="4"/>
        <v>6000</v>
      </c>
      <c r="S12" s="72">
        <f t="shared" si="4"/>
        <v>0</v>
      </c>
      <c r="T12" s="24">
        <f t="shared" si="1"/>
        <v>36900</v>
      </c>
      <c r="U12" s="24">
        <f t="shared" si="2"/>
        <v>9100</v>
      </c>
    </row>
    <row r="13" spans="1:21" s="58" customFormat="1" ht="12" outlineLevel="1">
      <c r="A13" s="32" t="s">
        <v>131</v>
      </c>
      <c r="B13" s="71" t="s">
        <v>8</v>
      </c>
      <c r="C13" s="45">
        <f>D13/D79</f>
        <v>0.12047225122480122</v>
      </c>
      <c r="D13" s="48">
        <f t="shared" si="0"/>
        <v>3000</v>
      </c>
      <c r="E13" s="50">
        <v>36000</v>
      </c>
      <c r="F13" s="171"/>
      <c r="G13" s="73"/>
      <c r="H13" s="73">
        <v>6000</v>
      </c>
      <c r="I13" s="73"/>
      <c r="J13" s="73">
        <v>6000</v>
      </c>
      <c r="K13" s="73">
        <v>3000</v>
      </c>
      <c r="L13" s="73">
        <v>3000</v>
      </c>
      <c r="M13" s="73">
        <v>3000</v>
      </c>
      <c r="N13" s="73"/>
      <c r="O13" s="73">
        <v>3000</v>
      </c>
      <c r="P13" s="73">
        <v>3000</v>
      </c>
      <c r="Q13" s="73">
        <v>3000</v>
      </c>
      <c r="R13" s="73">
        <f>3000+3000</f>
        <v>6000</v>
      </c>
      <c r="S13" s="138"/>
      <c r="T13" s="57">
        <f t="shared" si="1"/>
        <v>36000</v>
      </c>
      <c r="U13" s="57">
        <f t="shared" si="2"/>
        <v>0</v>
      </c>
    </row>
    <row r="14" spans="1:21" s="58" customFormat="1" ht="12" outlineLevel="1">
      <c r="A14" s="32" t="s">
        <v>132</v>
      </c>
      <c r="B14" s="44" t="s">
        <v>9</v>
      </c>
      <c r="C14" s="45">
        <f>D14/D79</f>
        <v>3.3464514229111453E-2</v>
      </c>
      <c r="D14" s="48">
        <f t="shared" si="0"/>
        <v>833.33333333333337</v>
      </c>
      <c r="E14" s="50">
        <f>E15+E16</f>
        <v>10000</v>
      </c>
      <c r="F14" s="171">
        <f t="shared" ref="F14:S14" si="5">SUM(F15:F16)</f>
        <v>0</v>
      </c>
      <c r="G14" s="73">
        <f t="shared" si="5"/>
        <v>0</v>
      </c>
      <c r="H14" s="73">
        <f t="shared" si="5"/>
        <v>0</v>
      </c>
      <c r="I14" s="73">
        <f t="shared" si="5"/>
        <v>0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3">
        <f t="shared" si="5"/>
        <v>0</v>
      </c>
      <c r="O14" s="73">
        <f t="shared" si="5"/>
        <v>900</v>
      </c>
      <c r="P14" s="73">
        <f t="shared" si="5"/>
        <v>0</v>
      </c>
      <c r="Q14" s="73">
        <f t="shared" si="5"/>
        <v>0</v>
      </c>
      <c r="R14" s="73">
        <f t="shared" si="5"/>
        <v>0</v>
      </c>
      <c r="S14" s="73">
        <f t="shared" si="5"/>
        <v>0</v>
      </c>
      <c r="T14" s="55">
        <f t="shared" si="1"/>
        <v>900</v>
      </c>
      <c r="U14" s="57">
        <f t="shared" si="2"/>
        <v>9100</v>
      </c>
    </row>
    <row r="15" spans="1:21" s="12" customFormat="1" ht="11.25" outlineLevel="2">
      <c r="A15" s="30" t="s">
        <v>133</v>
      </c>
      <c r="B15" s="3" t="s">
        <v>10</v>
      </c>
      <c r="C15" s="39"/>
      <c r="D15" s="18">
        <f t="shared" si="0"/>
        <v>250</v>
      </c>
      <c r="E15" s="83">
        <v>3000</v>
      </c>
      <c r="F15" s="172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39"/>
      <c r="T15" s="21">
        <f t="shared" si="1"/>
        <v>0</v>
      </c>
      <c r="U15" s="21">
        <f t="shared" si="2"/>
        <v>3000</v>
      </c>
    </row>
    <row r="16" spans="1:21" s="12" customFormat="1" ht="12" outlineLevel="2" thickBot="1">
      <c r="A16" s="31" t="s">
        <v>134</v>
      </c>
      <c r="B16" s="4" t="s">
        <v>71</v>
      </c>
      <c r="C16" s="40"/>
      <c r="D16" s="19">
        <f t="shared" si="0"/>
        <v>583.33333333333337</v>
      </c>
      <c r="E16" s="84">
        <v>7000</v>
      </c>
      <c r="F16" s="173"/>
      <c r="G16" s="100"/>
      <c r="H16" s="100"/>
      <c r="I16" s="100"/>
      <c r="J16" s="100"/>
      <c r="K16" s="100"/>
      <c r="L16" s="100"/>
      <c r="M16" s="100"/>
      <c r="N16" s="100"/>
      <c r="O16" s="100">
        <v>900</v>
      </c>
      <c r="P16" s="100"/>
      <c r="Q16" s="100"/>
      <c r="R16" s="100"/>
      <c r="S16" s="140"/>
      <c r="T16" s="119">
        <f t="shared" si="1"/>
        <v>900</v>
      </c>
      <c r="U16" s="25">
        <f t="shared" si="2"/>
        <v>6100</v>
      </c>
    </row>
    <row r="17" spans="1:21" ht="13.5" thickBot="1">
      <c r="A17" s="29" t="s">
        <v>108</v>
      </c>
      <c r="B17" s="6" t="s">
        <v>11</v>
      </c>
      <c r="C17" s="37">
        <f>D17/D79</f>
        <v>1.6732257114555726E-2</v>
      </c>
      <c r="D17" s="16">
        <f t="shared" si="0"/>
        <v>416.66666666666669</v>
      </c>
      <c r="E17" s="67">
        <v>5000</v>
      </c>
      <c r="F17" s="168"/>
      <c r="G17" s="95"/>
      <c r="H17" s="95"/>
      <c r="I17" s="95"/>
      <c r="J17" s="95"/>
      <c r="K17" s="95"/>
      <c r="L17" s="95">
        <v>2264</v>
      </c>
      <c r="M17" s="95"/>
      <c r="N17" s="95"/>
      <c r="O17" s="95"/>
      <c r="P17" s="95"/>
      <c r="Q17" s="95"/>
      <c r="R17" s="95"/>
      <c r="S17" s="150"/>
      <c r="T17" s="23">
        <f>SUM(G17:S17)</f>
        <v>2264</v>
      </c>
      <c r="U17" s="23">
        <f t="shared" si="2"/>
        <v>2736</v>
      </c>
    </row>
    <row r="18" spans="1:21">
      <c r="A18" s="28" t="s">
        <v>109</v>
      </c>
      <c r="B18" s="7" t="s">
        <v>69</v>
      </c>
      <c r="C18" s="38">
        <f>D18/D79</f>
        <v>0.14356276604288812</v>
      </c>
      <c r="D18" s="17">
        <f t="shared" si="0"/>
        <v>3575</v>
      </c>
      <c r="E18" s="68">
        <f>SUM(E19:E21)</f>
        <v>42900</v>
      </c>
      <c r="F18" s="174">
        <f t="shared" ref="F18:S18" si="6">SUM(F19:F21)</f>
        <v>5612</v>
      </c>
      <c r="G18" s="74">
        <f t="shared" si="6"/>
        <v>1130</v>
      </c>
      <c r="H18" s="74">
        <f t="shared" si="6"/>
        <v>17528</v>
      </c>
      <c r="I18" s="74">
        <f t="shared" si="6"/>
        <v>4120</v>
      </c>
      <c r="J18" s="74">
        <f t="shared" si="6"/>
        <v>2773</v>
      </c>
      <c r="K18" s="74">
        <f t="shared" si="6"/>
        <v>1020</v>
      </c>
      <c r="L18" s="74">
        <f t="shared" si="6"/>
        <v>1400</v>
      </c>
      <c r="M18" s="74">
        <f t="shared" si="6"/>
        <v>6129</v>
      </c>
      <c r="N18" s="74">
        <f t="shared" si="6"/>
        <v>11000</v>
      </c>
      <c r="O18" s="74">
        <f t="shared" si="6"/>
        <v>950</v>
      </c>
      <c r="P18" s="74">
        <f t="shared" si="6"/>
        <v>3770</v>
      </c>
      <c r="Q18" s="74">
        <f t="shared" si="6"/>
        <v>1395</v>
      </c>
      <c r="R18" s="74">
        <f t="shared" si="6"/>
        <v>980.72</v>
      </c>
      <c r="S18" s="120">
        <f t="shared" si="6"/>
        <v>2647</v>
      </c>
      <c r="T18" s="24">
        <f t="shared" si="1"/>
        <v>54842.720000000001</v>
      </c>
      <c r="U18" s="24">
        <f t="shared" si="2"/>
        <v>-11942.720000000001</v>
      </c>
    </row>
    <row r="19" spans="1:21" s="58" customFormat="1" ht="12" outlineLevel="1">
      <c r="A19" s="32" t="s">
        <v>47</v>
      </c>
      <c r="B19" s="44" t="s">
        <v>88</v>
      </c>
      <c r="C19" s="45">
        <f>D19/D79</f>
        <v>5.0196771343667172E-2</v>
      </c>
      <c r="D19" s="48">
        <f t="shared" si="0"/>
        <v>1250</v>
      </c>
      <c r="E19" s="50">
        <v>15000</v>
      </c>
      <c r="F19" s="144">
        <v>158</v>
      </c>
      <c r="G19" s="76">
        <v>1130</v>
      </c>
      <c r="H19" s="76">
        <v>1328</v>
      </c>
      <c r="I19" s="76">
        <f>590+80</f>
        <v>670</v>
      </c>
      <c r="J19" s="76">
        <f>1273+1500</f>
        <v>2773</v>
      </c>
      <c r="K19" s="76">
        <f>720</f>
        <v>720</v>
      </c>
      <c r="L19" s="76"/>
      <c r="M19" s="76">
        <v>675</v>
      </c>
      <c r="N19" s="76"/>
      <c r="O19" s="76">
        <v>950</v>
      </c>
      <c r="P19" s="76"/>
      <c r="Q19" s="76">
        <f>1003+192</f>
        <v>1195</v>
      </c>
      <c r="R19" s="76">
        <v>280.72000000000003</v>
      </c>
      <c r="S19" s="122">
        <f>1367+781</f>
        <v>2148</v>
      </c>
      <c r="T19" s="57">
        <f t="shared" si="1"/>
        <v>11869.72</v>
      </c>
      <c r="U19" s="57">
        <f t="shared" si="2"/>
        <v>3130.2800000000007</v>
      </c>
    </row>
    <row r="20" spans="1:21" s="58" customFormat="1" ht="12" outlineLevel="1">
      <c r="A20" s="32" t="s">
        <v>48</v>
      </c>
      <c r="B20" s="44" t="s">
        <v>72</v>
      </c>
      <c r="C20" s="45">
        <f>D20/D79</f>
        <v>2.007870853746687E-2</v>
      </c>
      <c r="D20" s="48">
        <f t="shared" si="0"/>
        <v>500</v>
      </c>
      <c r="E20" s="50">
        <v>6000</v>
      </c>
      <c r="F20" s="144"/>
      <c r="G20" s="76"/>
      <c r="H20" s="76"/>
      <c r="I20" s="76"/>
      <c r="J20" s="76"/>
      <c r="K20" s="76">
        <f>300</f>
        <v>300</v>
      </c>
      <c r="L20" s="76">
        <v>1400</v>
      </c>
      <c r="M20" s="141"/>
      <c r="N20" s="76"/>
      <c r="O20" s="76"/>
      <c r="P20" s="76"/>
      <c r="Q20" s="76">
        <v>200</v>
      </c>
      <c r="R20" s="76">
        <v>700</v>
      </c>
      <c r="S20" s="122">
        <v>499</v>
      </c>
      <c r="T20" s="57">
        <f t="shared" si="1"/>
        <v>3099</v>
      </c>
      <c r="U20" s="57">
        <f t="shared" si="2"/>
        <v>2901</v>
      </c>
    </row>
    <row r="21" spans="1:21" s="58" customFormat="1" ht="12" outlineLevel="1">
      <c r="A21" s="32" t="s">
        <v>49</v>
      </c>
      <c r="B21" s="44" t="s">
        <v>68</v>
      </c>
      <c r="C21" s="45">
        <f>D21/D79</f>
        <v>7.3287286161754076E-2</v>
      </c>
      <c r="D21" s="48">
        <f t="shared" si="0"/>
        <v>1825</v>
      </c>
      <c r="E21" s="50">
        <f t="shared" ref="E21:S21" si="7">SUM(E22:E24)</f>
        <v>21900</v>
      </c>
      <c r="F21" s="144">
        <f t="shared" si="7"/>
        <v>5454</v>
      </c>
      <c r="G21" s="76">
        <f t="shared" si="7"/>
        <v>0</v>
      </c>
      <c r="H21" s="76">
        <f t="shared" si="7"/>
        <v>16200</v>
      </c>
      <c r="I21" s="76">
        <f t="shared" si="7"/>
        <v>3450</v>
      </c>
      <c r="J21" s="76">
        <f t="shared" si="7"/>
        <v>0</v>
      </c>
      <c r="K21" s="76">
        <f t="shared" si="7"/>
        <v>0</v>
      </c>
      <c r="L21" s="76">
        <f t="shared" si="7"/>
        <v>0</v>
      </c>
      <c r="M21" s="76">
        <f t="shared" si="7"/>
        <v>5454</v>
      </c>
      <c r="N21" s="76">
        <f t="shared" si="7"/>
        <v>11000</v>
      </c>
      <c r="O21" s="76">
        <f t="shared" si="7"/>
        <v>0</v>
      </c>
      <c r="P21" s="76">
        <f t="shared" si="7"/>
        <v>3770</v>
      </c>
      <c r="Q21" s="76">
        <f t="shared" si="7"/>
        <v>0</v>
      </c>
      <c r="R21" s="76">
        <f t="shared" si="7"/>
        <v>0</v>
      </c>
      <c r="S21" s="76">
        <f t="shared" si="7"/>
        <v>0</v>
      </c>
      <c r="T21" s="57">
        <f t="shared" ref="T21:T27" si="8">SUM(G21:S21)</f>
        <v>39874</v>
      </c>
      <c r="U21" s="153">
        <f t="shared" si="2"/>
        <v>-17974</v>
      </c>
    </row>
    <row r="22" spans="1:21" s="12" customFormat="1" ht="11.25" outlineLevel="2">
      <c r="A22" s="30" t="s">
        <v>135</v>
      </c>
      <c r="B22" s="3" t="s">
        <v>70</v>
      </c>
      <c r="C22" s="39"/>
      <c r="D22" s="18">
        <f t="shared" si="0"/>
        <v>75</v>
      </c>
      <c r="E22" s="83">
        <v>900</v>
      </c>
      <c r="F22" s="175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42"/>
      <c r="T22" s="21">
        <f t="shared" si="8"/>
        <v>0</v>
      </c>
      <c r="U22" s="21">
        <f t="shared" si="2"/>
        <v>900</v>
      </c>
    </row>
    <row r="23" spans="1:21" s="12" customFormat="1" ht="11.25" outlineLevel="2">
      <c r="A23" s="30" t="s">
        <v>136</v>
      </c>
      <c r="B23" s="77" t="s">
        <v>94</v>
      </c>
      <c r="C23" s="78"/>
      <c r="D23" s="79">
        <f t="shared" si="0"/>
        <v>500</v>
      </c>
      <c r="E23" s="85">
        <v>6000</v>
      </c>
      <c r="F23" s="142">
        <v>5454</v>
      </c>
      <c r="G23" s="101"/>
      <c r="H23" s="101"/>
      <c r="I23" s="101"/>
      <c r="J23" s="101"/>
      <c r="K23" s="101"/>
      <c r="L23" s="101"/>
      <c r="M23" s="101">
        <v>5454</v>
      </c>
      <c r="N23" s="101"/>
      <c r="O23" s="101"/>
      <c r="P23" s="101"/>
      <c r="Q23" s="101"/>
      <c r="R23" s="101"/>
      <c r="S23" s="142"/>
      <c r="T23" s="21">
        <f t="shared" si="8"/>
        <v>5454</v>
      </c>
      <c r="U23" s="21">
        <f t="shared" si="2"/>
        <v>546</v>
      </c>
    </row>
    <row r="24" spans="1:21" s="12" customFormat="1" outlineLevel="2" thickBot="1">
      <c r="A24" s="30" t="s">
        <v>137</v>
      </c>
      <c r="B24" s="77" t="s">
        <v>93</v>
      </c>
      <c r="C24" s="78"/>
      <c r="D24" s="79">
        <f t="shared" si="0"/>
        <v>1250</v>
      </c>
      <c r="E24" s="85">
        <v>15000</v>
      </c>
      <c r="F24" s="175"/>
      <c r="G24" s="101"/>
      <c r="H24" s="101">
        <f>13500+2700</f>
        <v>16200</v>
      </c>
      <c r="I24" s="101">
        <f>210+1090+2150</f>
        <v>3450</v>
      </c>
      <c r="J24" s="101"/>
      <c r="K24" s="101"/>
      <c r="L24" s="101"/>
      <c r="M24" s="76"/>
      <c r="N24" s="101">
        <v>11000</v>
      </c>
      <c r="O24" s="101"/>
      <c r="P24" s="101">
        <f>680+3090</f>
        <v>3770</v>
      </c>
      <c r="Q24" s="101"/>
      <c r="R24" s="101"/>
      <c r="S24" s="142"/>
      <c r="T24" s="21">
        <f t="shared" si="8"/>
        <v>34420</v>
      </c>
      <c r="U24" s="21">
        <f t="shared" si="2"/>
        <v>-19420</v>
      </c>
    </row>
    <row r="25" spans="1:21">
      <c r="A25" s="28" t="s">
        <v>110</v>
      </c>
      <c r="B25" s="7" t="s">
        <v>12</v>
      </c>
      <c r="C25" s="38">
        <f>D25/D79</f>
        <v>8.7007736995689769E-2</v>
      </c>
      <c r="D25" s="17">
        <f t="shared" si="0"/>
        <v>2166.6666666666665</v>
      </c>
      <c r="E25" s="68">
        <f>SUM(E26:E30)</f>
        <v>26000</v>
      </c>
      <c r="F25" s="174">
        <f t="shared" ref="F25:S25" si="9">SUM(F26:F30)</f>
        <v>1078.1300000000001</v>
      </c>
      <c r="G25" s="74">
        <f t="shared" si="9"/>
        <v>0</v>
      </c>
      <c r="H25" s="74">
        <f t="shared" si="9"/>
        <v>0</v>
      </c>
      <c r="I25" s="74">
        <f>SUM(I26:I30)</f>
        <v>0</v>
      </c>
      <c r="J25" s="74">
        <f t="shared" si="9"/>
        <v>1643.43</v>
      </c>
      <c r="K25" s="74">
        <f t="shared" si="9"/>
        <v>1626</v>
      </c>
      <c r="L25" s="74">
        <f t="shared" si="9"/>
        <v>3233.8599999999997</v>
      </c>
      <c r="M25" s="74">
        <f t="shared" si="9"/>
        <v>0</v>
      </c>
      <c r="N25" s="74">
        <f>SUM(N26:N30)</f>
        <v>3784.56</v>
      </c>
      <c r="O25" s="74">
        <f t="shared" si="9"/>
        <v>0</v>
      </c>
      <c r="P25" s="74">
        <f t="shared" si="9"/>
        <v>0</v>
      </c>
      <c r="Q25" s="74">
        <f t="shared" si="9"/>
        <v>1515</v>
      </c>
      <c r="R25" s="74">
        <f t="shared" si="9"/>
        <v>352</v>
      </c>
      <c r="S25" s="120">
        <f t="shared" si="9"/>
        <v>0</v>
      </c>
      <c r="T25" s="24">
        <f t="shared" si="8"/>
        <v>12154.85</v>
      </c>
      <c r="U25" s="24">
        <f t="shared" si="2"/>
        <v>13845.15</v>
      </c>
    </row>
    <row r="26" spans="1:21" s="58" customFormat="1" ht="12" outlineLevel="1">
      <c r="A26" s="32" t="s">
        <v>50</v>
      </c>
      <c r="B26" s="44" t="s">
        <v>13</v>
      </c>
      <c r="C26" s="45">
        <f>D26/D79</f>
        <v>1.6732257114555726E-2</v>
      </c>
      <c r="D26" s="48">
        <f t="shared" si="0"/>
        <v>416.66666666666669</v>
      </c>
      <c r="E26" s="50">
        <v>5000</v>
      </c>
      <c r="F26" s="122">
        <v>486</v>
      </c>
      <c r="G26" s="76"/>
      <c r="H26" s="76"/>
      <c r="I26" s="102"/>
      <c r="J26" s="76"/>
      <c r="K26" s="76"/>
      <c r="L26" s="76"/>
      <c r="M26" s="76"/>
      <c r="N26" s="76">
        <v>3784.56</v>
      </c>
      <c r="O26" s="76"/>
      <c r="P26" s="76"/>
      <c r="Q26" s="76">
        <v>570</v>
      </c>
      <c r="R26" s="76">
        <v>352</v>
      </c>
      <c r="S26" s="122"/>
      <c r="T26" s="57">
        <f t="shared" si="8"/>
        <v>4706.5599999999995</v>
      </c>
      <c r="U26" s="57">
        <f t="shared" si="2"/>
        <v>293.44000000000051</v>
      </c>
    </row>
    <row r="27" spans="1:21" s="58" customFormat="1" ht="12" outlineLevel="1">
      <c r="A27" s="32" t="s">
        <v>51</v>
      </c>
      <c r="B27" s="44" t="s">
        <v>14</v>
      </c>
      <c r="C27" s="45">
        <f>D27/D79</f>
        <v>2.007870853746687E-2</v>
      </c>
      <c r="D27" s="48">
        <f t="shared" si="0"/>
        <v>500</v>
      </c>
      <c r="E27" s="50">
        <v>6000</v>
      </c>
      <c r="F27" s="122">
        <v>42.3</v>
      </c>
      <c r="G27" s="76"/>
      <c r="H27" s="76"/>
      <c r="I27" s="76"/>
      <c r="J27" s="76">
        <v>1643.43</v>
      </c>
      <c r="K27" s="76"/>
      <c r="L27" s="76">
        <v>2033.86</v>
      </c>
      <c r="M27" s="76"/>
      <c r="N27" s="141"/>
      <c r="O27" s="76"/>
      <c r="P27" s="76"/>
      <c r="Q27" s="76">
        <v>945</v>
      </c>
      <c r="R27" s="76"/>
      <c r="S27" s="122"/>
      <c r="T27" s="57">
        <f t="shared" si="8"/>
        <v>4622.29</v>
      </c>
      <c r="U27" s="57">
        <f t="shared" si="2"/>
        <v>1377.71</v>
      </c>
    </row>
    <row r="28" spans="1:21" s="58" customFormat="1" ht="12" outlineLevel="1">
      <c r="A28" s="32" t="s">
        <v>52</v>
      </c>
      <c r="B28" s="44" t="s">
        <v>15</v>
      </c>
      <c r="C28" s="45">
        <f>D28/D79</f>
        <v>2.007870853746687E-2</v>
      </c>
      <c r="D28" s="48">
        <f t="shared" si="0"/>
        <v>500</v>
      </c>
      <c r="E28" s="50">
        <v>6000</v>
      </c>
      <c r="F28" s="144">
        <v>549.83000000000004</v>
      </c>
      <c r="G28" s="76"/>
      <c r="H28" s="76"/>
      <c r="I28" s="76"/>
      <c r="J28" s="76"/>
      <c r="K28" s="76">
        <f>256+930+120+150+170</f>
        <v>1626</v>
      </c>
      <c r="L28" s="76">
        <v>1200</v>
      </c>
      <c r="M28" s="76"/>
      <c r="N28" s="76"/>
      <c r="O28" s="76"/>
      <c r="P28" s="76"/>
      <c r="Q28" s="76"/>
      <c r="R28" s="76"/>
      <c r="S28" s="122"/>
      <c r="T28" s="57">
        <f t="shared" ref="T28:T73" si="10">SUM(G28:S28)</f>
        <v>2826</v>
      </c>
      <c r="U28" s="57">
        <f t="shared" si="2"/>
        <v>3174</v>
      </c>
    </row>
    <row r="29" spans="1:21" s="58" customFormat="1" ht="12" outlineLevel="1">
      <c r="A29" s="32" t="s">
        <v>53</v>
      </c>
      <c r="B29" s="44" t="s">
        <v>16</v>
      </c>
      <c r="C29" s="45">
        <f>D29/D79</f>
        <v>3.3464514229111448E-3</v>
      </c>
      <c r="D29" s="48">
        <f t="shared" si="0"/>
        <v>83.333333333333329</v>
      </c>
      <c r="E29" s="50">
        <v>1000</v>
      </c>
      <c r="F29" s="144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122"/>
      <c r="T29" s="57">
        <f t="shared" si="10"/>
        <v>0</v>
      </c>
      <c r="U29" s="57">
        <f t="shared" si="2"/>
        <v>1000</v>
      </c>
    </row>
    <row r="30" spans="1:21" s="58" customFormat="1" outlineLevel="1" thickBot="1">
      <c r="A30" s="33" t="s">
        <v>54</v>
      </c>
      <c r="B30" s="53" t="s">
        <v>84</v>
      </c>
      <c r="C30" s="54">
        <f>D30/D79</f>
        <v>2.6771611383289158E-2</v>
      </c>
      <c r="D30" s="49">
        <f t="shared" si="0"/>
        <v>666.66666666666663</v>
      </c>
      <c r="E30" s="69">
        <v>8000</v>
      </c>
      <c r="F30" s="176"/>
      <c r="G30" s="103"/>
      <c r="H30" s="141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43"/>
      <c r="T30" s="70">
        <f t="shared" si="10"/>
        <v>0</v>
      </c>
      <c r="U30" s="70">
        <f t="shared" si="2"/>
        <v>8000</v>
      </c>
    </row>
    <row r="31" spans="1:21" ht="27" customHeight="1">
      <c r="A31" s="28" t="s">
        <v>111</v>
      </c>
      <c r="B31" s="8" t="s">
        <v>17</v>
      </c>
      <c r="C31" s="42">
        <f>D31/D79</f>
        <v>0.95005755896447397</v>
      </c>
      <c r="D31" s="43">
        <f t="shared" si="0"/>
        <v>23658.333333333332</v>
      </c>
      <c r="E31" s="86">
        <f t="shared" ref="E31:S31" si="11">SUM(E32:E44)</f>
        <v>283900</v>
      </c>
      <c r="F31" s="177">
        <f t="shared" si="11"/>
        <v>21862.400000000001</v>
      </c>
      <c r="G31" s="75">
        <f t="shared" si="11"/>
        <v>0</v>
      </c>
      <c r="H31" s="75">
        <f t="shared" si="11"/>
        <v>15500</v>
      </c>
      <c r="I31" s="75">
        <f>SUM(I32:I44)</f>
        <v>13760</v>
      </c>
      <c r="J31" s="75">
        <f t="shared" si="11"/>
        <v>7148</v>
      </c>
      <c r="K31" s="75">
        <f t="shared" si="11"/>
        <v>11400</v>
      </c>
      <c r="L31" s="75">
        <f t="shared" si="11"/>
        <v>6000</v>
      </c>
      <c r="M31" s="75">
        <f t="shared" si="11"/>
        <v>12648.22</v>
      </c>
      <c r="N31" s="75">
        <f t="shared" si="11"/>
        <v>36885</v>
      </c>
      <c r="O31" s="75">
        <f t="shared" si="11"/>
        <v>15810</v>
      </c>
      <c r="P31" s="75">
        <f t="shared" si="11"/>
        <v>85634.5</v>
      </c>
      <c r="Q31" s="75">
        <f t="shared" si="11"/>
        <v>13200</v>
      </c>
      <c r="R31" s="75">
        <f t="shared" si="11"/>
        <v>33580</v>
      </c>
      <c r="S31" s="121">
        <f t="shared" si="11"/>
        <v>9100</v>
      </c>
      <c r="T31" s="127">
        <f t="shared" si="10"/>
        <v>260665.72</v>
      </c>
      <c r="U31" s="128">
        <f t="shared" si="2"/>
        <v>23234.28</v>
      </c>
    </row>
    <row r="32" spans="1:21" s="58" customFormat="1" ht="12" outlineLevel="1">
      <c r="A32" s="32" t="s">
        <v>56</v>
      </c>
      <c r="B32" s="44" t="s">
        <v>99</v>
      </c>
      <c r="C32" s="45">
        <f>D32/D79</f>
        <v>4.8188900489920486E-2</v>
      </c>
      <c r="D32" s="48">
        <f t="shared" si="0"/>
        <v>1200</v>
      </c>
      <c r="E32" s="50">
        <v>14400</v>
      </c>
      <c r="F32" s="122">
        <v>1200</v>
      </c>
      <c r="G32" s="76"/>
      <c r="H32" s="76">
        <v>1200</v>
      </c>
      <c r="I32" s="76">
        <v>1200</v>
      </c>
      <c r="J32" s="76">
        <v>1200</v>
      </c>
      <c r="K32" s="76">
        <v>1200</v>
      </c>
      <c r="L32" s="76">
        <v>1200</v>
      </c>
      <c r="M32" s="76">
        <v>1200</v>
      </c>
      <c r="N32" s="76"/>
      <c r="O32" s="76">
        <v>2400</v>
      </c>
      <c r="P32" s="76">
        <v>1200</v>
      </c>
      <c r="Q32" s="76">
        <v>1200</v>
      </c>
      <c r="R32" s="76">
        <v>1200</v>
      </c>
      <c r="S32" s="122">
        <v>1200</v>
      </c>
      <c r="T32" s="57">
        <f t="shared" si="10"/>
        <v>14400</v>
      </c>
      <c r="U32" s="57">
        <f t="shared" si="2"/>
        <v>0</v>
      </c>
    </row>
    <row r="33" spans="1:21" s="58" customFormat="1" ht="12" outlineLevel="1">
      <c r="A33" s="32" t="s">
        <v>57</v>
      </c>
      <c r="B33" s="80" t="s">
        <v>55</v>
      </c>
      <c r="C33" s="45">
        <f>D33/D79</f>
        <v>0.16732257114555726</v>
      </c>
      <c r="D33" s="48">
        <f t="shared" si="0"/>
        <v>4166.666666666667</v>
      </c>
      <c r="E33" s="50">
        <v>50000</v>
      </c>
      <c r="F33" s="122">
        <v>4800</v>
      </c>
      <c r="G33" s="76"/>
      <c r="H33" s="76">
        <v>4000</v>
      </c>
      <c r="I33" s="76">
        <v>2400</v>
      </c>
      <c r="J33" s="76"/>
      <c r="K33" s="76">
        <v>3000</v>
      </c>
      <c r="L33" s="76"/>
      <c r="M33" s="76">
        <v>3000</v>
      </c>
      <c r="N33" s="76">
        <v>3000</v>
      </c>
      <c r="O33" s="76">
        <v>3000</v>
      </c>
      <c r="P33" s="76">
        <v>3000</v>
      </c>
      <c r="Q33" s="76">
        <v>7000</v>
      </c>
      <c r="R33" s="76">
        <f>3900+3000</f>
        <v>6900</v>
      </c>
      <c r="S33" s="122">
        <v>3000</v>
      </c>
      <c r="T33" s="57">
        <f t="shared" si="10"/>
        <v>38300</v>
      </c>
      <c r="U33" s="153">
        <f t="shared" si="2"/>
        <v>11700</v>
      </c>
    </row>
    <row r="34" spans="1:21" s="58" customFormat="1" ht="12" outlineLevel="1">
      <c r="A34" s="32" t="s">
        <v>58</v>
      </c>
      <c r="B34" s="81" t="s">
        <v>18</v>
      </c>
      <c r="C34" s="45">
        <f>D34/D79</f>
        <v>0.10039354268733434</v>
      </c>
      <c r="D34" s="48">
        <f t="shared" si="0"/>
        <v>2500</v>
      </c>
      <c r="E34" s="50">
        <v>30000</v>
      </c>
      <c r="F34" s="122">
        <f>2500+2500</f>
        <v>5000</v>
      </c>
      <c r="G34" s="76"/>
      <c r="H34" s="76">
        <v>2500</v>
      </c>
      <c r="I34" s="76">
        <v>2500</v>
      </c>
      <c r="J34" s="76">
        <v>2500</v>
      </c>
      <c r="K34" s="76">
        <v>2500</v>
      </c>
      <c r="L34" s="76">
        <v>2500</v>
      </c>
      <c r="M34" s="76">
        <v>2500</v>
      </c>
      <c r="N34" s="76">
        <v>2500</v>
      </c>
      <c r="O34" s="76">
        <v>2500</v>
      </c>
      <c r="P34" s="76"/>
      <c r="Q34" s="76">
        <v>5000</v>
      </c>
      <c r="R34" s="76">
        <v>2500</v>
      </c>
      <c r="S34" s="122">
        <v>2500</v>
      </c>
      <c r="T34" s="57">
        <f t="shared" si="10"/>
        <v>30000</v>
      </c>
      <c r="U34" s="57">
        <f t="shared" si="2"/>
        <v>0</v>
      </c>
    </row>
    <row r="35" spans="1:21" s="58" customFormat="1" ht="12" outlineLevel="1">
      <c r="A35" s="32" t="s">
        <v>73</v>
      </c>
      <c r="B35" s="44" t="s">
        <v>19</v>
      </c>
      <c r="C35" s="45">
        <f>D35/D79</f>
        <v>0.10039354268733434</v>
      </c>
      <c r="D35" s="48">
        <f t="shared" si="0"/>
        <v>2500</v>
      </c>
      <c r="E35" s="50">
        <v>30000</v>
      </c>
      <c r="F35" s="144"/>
      <c r="G35" s="76"/>
      <c r="H35" s="76"/>
      <c r="I35" s="76"/>
      <c r="J35" s="76"/>
      <c r="K35" s="76"/>
      <c r="L35" s="141"/>
      <c r="M35" s="76"/>
      <c r="N35" s="76"/>
      <c r="O35" s="76"/>
      <c r="P35" s="76">
        <f>2223+1899+300</f>
        <v>4422</v>
      </c>
      <c r="Q35" s="76"/>
      <c r="R35" s="76"/>
      <c r="S35" s="122"/>
      <c r="T35" s="57">
        <f t="shared" si="10"/>
        <v>4422</v>
      </c>
      <c r="U35" s="57">
        <f t="shared" si="2"/>
        <v>25578</v>
      </c>
    </row>
    <row r="36" spans="1:21" s="58" customFormat="1" ht="12" outlineLevel="1">
      <c r="A36" s="32" t="s">
        <v>75</v>
      </c>
      <c r="B36" s="44" t="s">
        <v>20</v>
      </c>
      <c r="C36" s="45">
        <f>D36/D79</f>
        <v>2.007870853746687E-2</v>
      </c>
      <c r="D36" s="48">
        <f t="shared" si="0"/>
        <v>500</v>
      </c>
      <c r="E36" s="50">
        <v>6000</v>
      </c>
      <c r="F36" s="144"/>
      <c r="G36" s="76"/>
      <c r="H36" s="76"/>
      <c r="I36" s="76"/>
      <c r="J36" s="76"/>
      <c r="K36" s="76"/>
      <c r="L36" s="76"/>
      <c r="M36" s="76"/>
      <c r="N36" s="76">
        <v>2400</v>
      </c>
      <c r="O36" s="76"/>
      <c r="P36" s="76"/>
      <c r="Q36" s="76"/>
      <c r="R36" s="76"/>
      <c r="S36" s="122">
        <v>2400</v>
      </c>
      <c r="T36" s="57">
        <f t="shared" si="10"/>
        <v>4800</v>
      </c>
      <c r="U36" s="57">
        <f t="shared" si="2"/>
        <v>1200</v>
      </c>
    </row>
    <row r="37" spans="1:21" s="58" customFormat="1" ht="12" outlineLevel="1">
      <c r="A37" s="32" t="s">
        <v>79</v>
      </c>
      <c r="B37" s="44" t="s">
        <v>100</v>
      </c>
      <c r="C37" s="45">
        <f>D37/D82</f>
        <v>22.724359475482384</v>
      </c>
      <c r="D37" s="48">
        <f t="shared" si="0"/>
        <v>250</v>
      </c>
      <c r="E37" s="50">
        <v>3000</v>
      </c>
      <c r="F37" s="144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122"/>
      <c r="T37" s="57">
        <f t="shared" si="10"/>
        <v>0</v>
      </c>
      <c r="U37" s="57">
        <f t="shared" si="2"/>
        <v>3000</v>
      </c>
    </row>
    <row r="38" spans="1:21" s="58" customFormat="1" ht="12" outlineLevel="1">
      <c r="A38" s="32" t="s">
        <v>82</v>
      </c>
      <c r="B38" s="44" t="s">
        <v>101</v>
      </c>
      <c r="C38" s="45">
        <f>D38/D82</f>
        <v>22.724359475482384</v>
      </c>
      <c r="D38" s="48">
        <f t="shared" si="0"/>
        <v>250</v>
      </c>
      <c r="E38" s="50">
        <v>3000</v>
      </c>
      <c r="F38" s="144"/>
      <c r="G38" s="76"/>
      <c r="H38" s="76"/>
      <c r="I38" s="76"/>
      <c r="J38" s="76"/>
      <c r="K38" s="76"/>
      <c r="L38" s="76"/>
      <c r="M38" s="76">
        <v>3148.22</v>
      </c>
      <c r="N38" s="76"/>
      <c r="O38" s="76"/>
      <c r="P38" s="76"/>
      <c r="Q38" s="76"/>
      <c r="R38" s="76"/>
      <c r="S38" s="122"/>
      <c r="T38" s="57">
        <f t="shared" si="10"/>
        <v>3148.22</v>
      </c>
      <c r="U38" s="57">
        <f t="shared" si="2"/>
        <v>-148.2199999999998</v>
      </c>
    </row>
    <row r="39" spans="1:21" s="58" customFormat="1" ht="12" outlineLevel="1">
      <c r="A39" s="32" t="s">
        <v>103</v>
      </c>
      <c r="B39" s="44" t="s">
        <v>21</v>
      </c>
      <c r="C39" s="45">
        <f>D39/D79</f>
        <v>4.0157417074933741E-2</v>
      </c>
      <c r="D39" s="48">
        <f t="shared" si="0"/>
        <v>1000</v>
      </c>
      <c r="E39" s="50">
        <v>12000</v>
      </c>
      <c r="F39" s="144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122"/>
      <c r="T39" s="57">
        <f t="shared" si="10"/>
        <v>0</v>
      </c>
      <c r="U39" s="57">
        <f t="shared" si="2"/>
        <v>12000</v>
      </c>
    </row>
    <row r="40" spans="1:21" s="58" customFormat="1" ht="12" outlineLevel="1">
      <c r="A40" s="32" t="s">
        <v>138</v>
      </c>
      <c r="B40" s="44" t="s">
        <v>22</v>
      </c>
      <c r="C40" s="45">
        <f>D40/D79</f>
        <v>2.6771611383289158E-2</v>
      </c>
      <c r="D40" s="48">
        <f t="shared" si="0"/>
        <v>666.66666666666663</v>
      </c>
      <c r="E40" s="50">
        <v>8000</v>
      </c>
      <c r="F40" s="144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122"/>
      <c r="T40" s="57">
        <f t="shared" si="10"/>
        <v>0</v>
      </c>
      <c r="U40" s="57">
        <f t="shared" si="2"/>
        <v>8000</v>
      </c>
    </row>
    <row r="41" spans="1:21" s="58" customFormat="1" ht="12" outlineLevel="1">
      <c r="A41" s="32" t="s">
        <v>139</v>
      </c>
      <c r="B41" s="44" t="s">
        <v>81</v>
      </c>
      <c r="C41" s="45">
        <f>D41/D79</f>
        <v>0.12047225122480122</v>
      </c>
      <c r="D41" s="48">
        <f t="shared" si="0"/>
        <v>3000</v>
      </c>
      <c r="E41" s="50">
        <v>36000</v>
      </c>
      <c r="F41" s="122">
        <v>5300</v>
      </c>
      <c r="G41" s="76"/>
      <c r="H41" s="76"/>
      <c r="I41" s="76"/>
      <c r="J41" s="76">
        <f>3000+448</f>
        <v>3448</v>
      </c>
      <c r="K41" s="76">
        <v>2000</v>
      </c>
      <c r="L41" s="76"/>
      <c r="M41" s="76"/>
      <c r="N41" s="76">
        <v>575</v>
      </c>
      <c r="O41" s="76"/>
      <c r="P41" s="76">
        <f>30000+25000</f>
        <v>55000</v>
      </c>
      <c r="Q41" s="76"/>
      <c r="R41" s="76"/>
      <c r="S41" s="122"/>
      <c r="T41" s="57">
        <f t="shared" si="10"/>
        <v>61023</v>
      </c>
      <c r="U41" s="57">
        <f t="shared" si="2"/>
        <v>-25023</v>
      </c>
    </row>
    <row r="42" spans="1:21" s="58" customFormat="1" ht="12" outlineLevel="1">
      <c r="A42" s="32" t="s">
        <v>140</v>
      </c>
      <c r="B42" s="71" t="s">
        <v>78</v>
      </c>
      <c r="C42" s="45">
        <f>D42/D79</f>
        <v>0.12716515407062351</v>
      </c>
      <c r="D42" s="48">
        <f t="shared" si="0"/>
        <v>3166.6666666666665</v>
      </c>
      <c r="E42" s="50">
        <v>38000</v>
      </c>
      <c r="F42" s="122">
        <v>1562.4</v>
      </c>
      <c r="G42" s="76"/>
      <c r="H42" s="76">
        <f>4000+800</f>
        <v>4800</v>
      </c>
      <c r="I42" s="76">
        <v>3160</v>
      </c>
      <c r="J42" s="76"/>
      <c r="K42" s="76">
        <f>1800+900</f>
        <v>2700</v>
      </c>
      <c r="L42" s="76">
        <v>2300</v>
      </c>
      <c r="M42" s="76">
        <v>2800</v>
      </c>
      <c r="N42" s="76">
        <v>3410</v>
      </c>
      <c r="O42" s="76">
        <f>3410</f>
        <v>3410</v>
      </c>
      <c r="P42" s="76">
        <f>3410+4680+13922.5</f>
        <v>22012.5</v>
      </c>
      <c r="Q42" s="76"/>
      <c r="R42" s="76">
        <v>1900</v>
      </c>
      <c r="S42" s="122"/>
      <c r="T42" s="57">
        <f t="shared" si="10"/>
        <v>46492.5</v>
      </c>
      <c r="U42" s="153">
        <f t="shared" si="2"/>
        <v>-8492.5</v>
      </c>
    </row>
    <row r="43" spans="1:21" s="58" customFormat="1" ht="12" outlineLevel="1">
      <c r="A43" s="32" t="s">
        <v>141</v>
      </c>
      <c r="B43" s="44" t="s">
        <v>23</v>
      </c>
      <c r="C43" s="45">
        <f>D43/D79</f>
        <v>9.5373865552967632E-2</v>
      </c>
      <c r="D43" s="48">
        <f t="shared" si="0"/>
        <v>2375</v>
      </c>
      <c r="E43" s="50">
        <v>28500</v>
      </c>
      <c r="F43" s="143">
        <v>4000</v>
      </c>
      <c r="G43" s="103"/>
      <c r="H43" s="103">
        <v>3000</v>
      </c>
      <c r="I43" s="103">
        <v>4500</v>
      </c>
      <c r="J43" s="103"/>
      <c r="K43" s="103"/>
      <c r="L43" s="103"/>
      <c r="M43" s="103"/>
      <c r="N43" s="103"/>
      <c r="O43" s="103">
        <v>4500</v>
      </c>
      <c r="P43" s="103"/>
      <c r="Q43" s="103"/>
      <c r="R43" s="103">
        <v>21080</v>
      </c>
      <c r="S43" s="143"/>
      <c r="T43" s="57">
        <f t="shared" si="10"/>
        <v>33080</v>
      </c>
      <c r="U43" s="57">
        <f t="shared" si="2"/>
        <v>-4580</v>
      </c>
    </row>
    <row r="44" spans="1:21" s="58" customFormat="1" outlineLevel="1" thickBot="1">
      <c r="A44" s="32" t="s">
        <v>142</v>
      </c>
      <c r="B44" s="58" t="s">
        <v>90</v>
      </c>
      <c r="C44" s="160">
        <f>D44/D79</f>
        <v>8.3661285572778632E-2</v>
      </c>
      <c r="D44" s="48">
        <f t="shared" ref="D44:D77" si="12">E44/12</f>
        <v>2083.3333333333335</v>
      </c>
      <c r="E44" s="50">
        <v>25000</v>
      </c>
      <c r="F44" s="144"/>
      <c r="G44" s="76"/>
      <c r="H44" s="76"/>
      <c r="I44" s="76"/>
      <c r="J44" s="76"/>
      <c r="K44" s="76"/>
      <c r="L44" s="76"/>
      <c r="M44" s="76"/>
      <c r="N44" s="76">
        <v>25000</v>
      </c>
      <c r="O44" s="76"/>
      <c r="P44" s="76"/>
      <c r="Q44" s="76"/>
      <c r="R44" s="76"/>
      <c r="S44" s="122"/>
      <c r="T44" s="70">
        <f t="shared" si="10"/>
        <v>25000</v>
      </c>
      <c r="U44" s="57">
        <f t="shared" si="2"/>
        <v>0</v>
      </c>
    </row>
    <row r="45" spans="1:21">
      <c r="A45" s="28" t="s">
        <v>112</v>
      </c>
      <c r="B45" s="7" t="s">
        <v>102</v>
      </c>
      <c r="C45" s="38">
        <f>D45/D79</f>
        <v>1.5494070088078602</v>
      </c>
      <c r="D45" s="17">
        <f t="shared" si="12"/>
        <v>38583.333333333336</v>
      </c>
      <c r="E45" s="68">
        <f t="shared" ref="E45:S45" si="13">SUM(E46:E53)</f>
        <v>463000</v>
      </c>
      <c r="F45" s="174">
        <f t="shared" si="13"/>
        <v>51766.5</v>
      </c>
      <c r="G45" s="74">
        <f t="shared" si="13"/>
        <v>3817.7</v>
      </c>
      <c r="H45" s="74">
        <f t="shared" si="13"/>
        <v>0</v>
      </c>
      <c r="I45" s="74">
        <f t="shared" si="13"/>
        <v>869.40000000000009</v>
      </c>
      <c r="J45" s="74">
        <f t="shared" si="13"/>
        <v>10944.65</v>
      </c>
      <c r="K45" s="74">
        <f t="shared" si="13"/>
        <v>1130.25</v>
      </c>
      <c r="L45" s="74">
        <f t="shared" si="13"/>
        <v>25682.489999999998</v>
      </c>
      <c r="M45" s="74">
        <f t="shared" si="13"/>
        <v>3395</v>
      </c>
      <c r="N45" s="74">
        <f t="shared" si="13"/>
        <v>83378.600000000006</v>
      </c>
      <c r="O45" s="74">
        <f t="shared" si="13"/>
        <v>8972.5</v>
      </c>
      <c r="P45" s="74">
        <f t="shared" si="13"/>
        <v>18012.904999999999</v>
      </c>
      <c r="Q45" s="74">
        <f t="shared" si="13"/>
        <v>922</v>
      </c>
      <c r="R45" s="74">
        <f t="shared" si="13"/>
        <v>55627.57</v>
      </c>
      <c r="S45" s="74">
        <f t="shared" si="13"/>
        <v>0</v>
      </c>
      <c r="T45" s="126">
        <f t="shared" si="10"/>
        <v>212753.065</v>
      </c>
      <c r="U45" s="24">
        <f t="shared" si="2"/>
        <v>250246.935</v>
      </c>
    </row>
    <row r="46" spans="1:21" s="58" customFormat="1" ht="12" outlineLevel="1">
      <c r="A46" s="32" t="s">
        <v>59</v>
      </c>
      <c r="B46" s="44" t="s">
        <v>80</v>
      </c>
      <c r="C46" s="45">
        <f>D46/D79</f>
        <v>6.6929028458222906E-2</v>
      </c>
      <c r="D46" s="48">
        <f t="shared" si="12"/>
        <v>1666.6666666666667</v>
      </c>
      <c r="E46" s="50">
        <v>20000</v>
      </c>
      <c r="F46" s="144"/>
      <c r="G46" s="76"/>
      <c r="H46" s="76"/>
      <c r="I46" s="76"/>
      <c r="J46" s="76"/>
      <c r="K46" s="76"/>
      <c r="L46" s="180">
        <v>15360.5</v>
      </c>
      <c r="M46" s="76"/>
      <c r="N46" s="76"/>
      <c r="O46" s="76"/>
      <c r="P46" s="76">
        <v>1000</v>
      </c>
      <c r="Q46" s="76"/>
      <c r="R46" s="76"/>
      <c r="S46" s="122"/>
      <c r="T46" s="57">
        <f t="shared" si="10"/>
        <v>16360.5</v>
      </c>
      <c r="U46" s="57">
        <f t="shared" si="2"/>
        <v>3639.5</v>
      </c>
    </row>
    <row r="47" spans="1:21" s="58" customFormat="1" ht="12" outlineLevel="1">
      <c r="A47" s="32" t="s">
        <v>60</v>
      </c>
      <c r="B47" s="44" t="s">
        <v>87</v>
      </c>
      <c r="C47" s="45">
        <f>D47/D79</f>
        <v>0.20078708537466869</v>
      </c>
      <c r="D47" s="48">
        <f t="shared" si="12"/>
        <v>5000</v>
      </c>
      <c r="E47" s="50">
        <v>60000</v>
      </c>
      <c r="F47" s="122">
        <v>481.5</v>
      </c>
      <c r="G47" s="76">
        <f>574.3+52.4</f>
        <v>626.69999999999993</v>
      </c>
      <c r="H47" s="76"/>
      <c r="I47" s="92">
        <f>749.7+119.7</f>
        <v>869.40000000000009</v>
      </c>
      <c r="J47" s="76">
        <f>580.5+135+255.15+216</f>
        <v>1186.6500000000001</v>
      </c>
      <c r="K47" s="92">
        <f>776.25+162+36</f>
        <v>974.25</v>
      </c>
      <c r="L47" s="76"/>
      <c r="M47" s="92"/>
      <c r="N47" s="76">
        <f>88.2+270+81+409.5+32.4</f>
        <v>881.1</v>
      </c>
      <c r="O47" s="92">
        <f>648+175.5+144</f>
        <v>967.5</v>
      </c>
      <c r="P47" s="76">
        <f>185.49+68.4+9+845+5488+8309.015</f>
        <v>14904.904999999999</v>
      </c>
      <c r="Q47" s="92">
        <v>922</v>
      </c>
      <c r="R47" s="76">
        <f>13748.77+2008.8+1960</f>
        <v>17717.57</v>
      </c>
      <c r="S47" s="122"/>
      <c r="T47" s="57">
        <f t="shared" si="10"/>
        <v>39050.074999999997</v>
      </c>
      <c r="U47" s="57">
        <f t="shared" si="2"/>
        <v>20949.925000000003</v>
      </c>
    </row>
    <row r="48" spans="1:21" s="58" customFormat="1" ht="12" outlineLevel="1">
      <c r="A48" s="32" t="s">
        <v>61</v>
      </c>
      <c r="B48" s="44" t="s">
        <v>77</v>
      </c>
      <c r="C48" s="45">
        <f>D48/D79</f>
        <v>0</v>
      </c>
      <c r="D48" s="48">
        <f t="shared" si="12"/>
        <v>0</v>
      </c>
      <c r="E48" s="50">
        <v>0</v>
      </c>
      <c r="F48" s="144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122"/>
      <c r="T48" s="57">
        <f t="shared" si="10"/>
        <v>0</v>
      </c>
      <c r="U48" s="57">
        <f t="shared" si="2"/>
        <v>0</v>
      </c>
    </row>
    <row r="49" spans="1:21" s="58" customFormat="1" ht="12" outlineLevel="1">
      <c r="A49" s="32" t="s">
        <v>62</v>
      </c>
      <c r="B49" s="44" t="s">
        <v>25</v>
      </c>
      <c r="C49" s="45">
        <f>D49/D79</f>
        <v>8.3661285572778632E-2</v>
      </c>
      <c r="D49" s="48">
        <f t="shared" si="12"/>
        <v>2083.3333333333335</v>
      </c>
      <c r="E49" s="50">
        <v>25000</v>
      </c>
      <c r="F49" s="144"/>
      <c r="G49" s="76"/>
      <c r="H49" s="76"/>
      <c r="I49" s="76"/>
      <c r="J49" s="76">
        <v>8700</v>
      </c>
      <c r="K49" s="76"/>
      <c r="L49" s="76"/>
      <c r="M49" s="76"/>
      <c r="N49" s="76"/>
      <c r="O49" s="76"/>
      <c r="P49" s="76"/>
      <c r="Q49" s="76"/>
      <c r="R49" s="76"/>
      <c r="S49" s="122"/>
      <c r="T49" s="57">
        <f t="shared" si="10"/>
        <v>8700</v>
      </c>
      <c r="U49" s="57">
        <f t="shared" si="2"/>
        <v>16300</v>
      </c>
    </row>
    <row r="50" spans="1:21" s="58" customFormat="1" ht="12" outlineLevel="1">
      <c r="A50" s="32" t="s">
        <v>63</v>
      </c>
      <c r="B50" s="71" t="s">
        <v>76</v>
      </c>
      <c r="C50" s="45">
        <f>D50/D79</f>
        <v>1.6732257114555726E-2</v>
      </c>
      <c r="D50" s="48">
        <f t="shared" si="12"/>
        <v>416.66666666666669</v>
      </c>
      <c r="E50" s="50">
        <v>5000</v>
      </c>
      <c r="F50" s="144"/>
      <c r="G50" s="76"/>
      <c r="H50" s="76"/>
      <c r="I50" s="76"/>
      <c r="J50" s="76"/>
      <c r="K50" s="76"/>
      <c r="L50" s="76"/>
      <c r="M50" s="76"/>
      <c r="N50" s="76">
        <f>10200+60+77+42+88+654.5+180</f>
        <v>11301.5</v>
      </c>
      <c r="O50" s="76"/>
      <c r="P50" s="76"/>
      <c r="Q50" s="76"/>
      <c r="R50" s="76"/>
      <c r="S50" s="122"/>
      <c r="T50" s="57">
        <f t="shared" si="10"/>
        <v>11301.5</v>
      </c>
      <c r="U50" s="57">
        <f t="shared" si="2"/>
        <v>-6301.5</v>
      </c>
    </row>
    <row r="51" spans="1:21" s="58" customFormat="1" ht="12" outlineLevel="1">
      <c r="A51" s="32" t="s">
        <v>64</v>
      </c>
      <c r="B51" s="44" t="s">
        <v>130</v>
      </c>
      <c r="C51" s="45">
        <f>D51/D79</f>
        <v>0.28444837094744729</v>
      </c>
      <c r="D51" s="48">
        <f>E51/12</f>
        <v>7083.333333333333</v>
      </c>
      <c r="E51" s="50">
        <v>85000</v>
      </c>
      <c r="F51" s="158">
        <f>50620+613+27+25</f>
        <v>51285</v>
      </c>
      <c r="G51" s="76">
        <v>991</v>
      </c>
      <c r="H51" s="76"/>
      <c r="I51" s="76"/>
      <c r="J51" s="76">
        <f>144+230+270+198+216</f>
        <v>1058</v>
      </c>
      <c r="K51" s="76">
        <f>156</f>
        <v>156</v>
      </c>
      <c r="L51" s="76">
        <f>163+255.47+9903.52</f>
        <v>10321.99</v>
      </c>
      <c r="M51" s="76"/>
      <c r="N51" s="76">
        <f>70450+746</f>
        <v>71196</v>
      </c>
      <c r="O51" s="76">
        <f>3630+2448+1270+358+150+149</f>
        <v>8005</v>
      </c>
      <c r="P51" s="76">
        <f>833+1275</f>
        <v>2108</v>
      </c>
      <c r="Q51" s="76"/>
      <c r="R51" s="76">
        <v>34810</v>
      </c>
      <c r="S51" s="158"/>
      <c r="T51" s="57">
        <f t="shared" si="10"/>
        <v>128645.99</v>
      </c>
      <c r="U51" s="57">
        <f t="shared" si="2"/>
        <v>-43645.990000000005</v>
      </c>
    </row>
    <row r="52" spans="1:21" s="58" customFormat="1" ht="12" outlineLevel="1">
      <c r="A52" s="32" t="s">
        <v>65</v>
      </c>
      <c r="B52" s="44" t="s">
        <v>85</v>
      </c>
      <c r="C52" s="45">
        <f>D52/D79</f>
        <v>2.6771611383289158E-2</v>
      </c>
      <c r="D52" s="48">
        <f>E52/12</f>
        <v>666.66666666666663</v>
      </c>
      <c r="E52" s="50">
        <v>8000</v>
      </c>
      <c r="F52" s="144"/>
      <c r="G52" s="76">
        <v>2200</v>
      </c>
      <c r="H52" s="76"/>
      <c r="I52" s="76"/>
      <c r="J52" s="76"/>
      <c r="K52" s="76"/>
      <c r="L52" s="76"/>
      <c r="M52" s="76">
        <v>3395</v>
      </c>
      <c r="N52" s="76"/>
      <c r="O52" s="76"/>
      <c r="P52" s="76"/>
      <c r="Q52" s="76"/>
      <c r="R52" s="76">
        <v>3100</v>
      </c>
      <c r="S52" s="122"/>
      <c r="T52" s="57">
        <f t="shared" si="10"/>
        <v>8695</v>
      </c>
      <c r="U52" s="57">
        <f t="shared" si="2"/>
        <v>-695</v>
      </c>
    </row>
    <row r="53" spans="1:21" s="58" customFormat="1" outlineLevel="1" thickBot="1">
      <c r="A53" s="32" t="s">
        <v>66</v>
      </c>
      <c r="B53" s="44" t="s">
        <v>121</v>
      </c>
      <c r="C53" s="45">
        <f>D53/D79</f>
        <v>0.87007736995689777</v>
      </c>
      <c r="D53" s="48">
        <f>E53/12</f>
        <v>21666.666666666668</v>
      </c>
      <c r="E53" s="50">
        <v>260000</v>
      </c>
      <c r="F53" s="144"/>
      <c r="G53" s="178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122"/>
      <c r="T53" s="124">
        <f t="shared" si="10"/>
        <v>0</v>
      </c>
      <c r="U53" s="153">
        <f t="shared" si="2"/>
        <v>260000</v>
      </c>
    </row>
    <row r="54" spans="1:21">
      <c r="A54" s="28" t="s">
        <v>113</v>
      </c>
      <c r="B54" s="7" t="s">
        <v>127</v>
      </c>
      <c r="C54" s="38">
        <f>D54/D79</f>
        <v>4.6150208818568785</v>
      </c>
      <c r="D54" s="17">
        <f t="shared" si="12"/>
        <v>114923.25</v>
      </c>
      <c r="E54" s="68">
        <f t="shared" ref="E54:J54" si="14">SUM(E55:E71)</f>
        <v>1379079</v>
      </c>
      <c r="F54" s="91">
        <f t="shared" si="14"/>
        <v>700</v>
      </c>
      <c r="G54" s="91">
        <f t="shared" si="14"/>
        <v>0</v>
      </c>
      <c r="H54" s="74">
        <f t="shared" si="14"/>
        <v>700</v>
      </c>
      <c r="I54" s="74">
        <f t="shared" si="14"/>
        <v>700</v>
      </c>
      <c r="J54" s="74">
        <f t="shared" si="14"/>
        <v>211520</v>
      </c>
      <c r="K54" s="91">
        <f t="shared" ref="K54:S54" si="15">SUM(K55:K71)</f>
        <v>91615</v>
      </c>
      <c r="L54" s="74">
        <f t="shared" si="15"/>
        <v>348326.9</v>
      </c>
      <c r="M54" s="74">
        <f t="shared" si="15"/>
        <v>484347</v>
      </c>
      <c r="N54" s="74">
        <f>SUM(N55:N71)</f>
        <v>61606.1</v>
      </c>
      <c r="O54" s="91">
        <f t="shared" si="15"/>
        <v>15605</v>
      </c>
      <c r="P54" s="74">
        <f t="shared" si="15"/>
        <v>12100</v>
      </c>
      <c r="Q54" s="74">
        <f t="shared" si="15"/>
        <v>35700</v>
      </c>
      <c r="R54" s="74">
        <f t="shared" si="15"/>
        <v>71476</v>
      </c>
      <c r="S54" s="123">
        <f t="shared" si="15"/>
        <v>700</v>
      </c>
      <c r="T54" s="24">
        <f t="shared" si="10"/>
        <v>1334396</v>
      </c>
      <c r="U54" s="24">
        <f t="shared" si="2"/>
        <v>44683</v>
      </c>
    </row>
    <row r="55" spans="1:21" s="58" customFormat="1" ht="12" outlineLevel="1">
      <c r="A55" s="32" t="s">
        <v>143</v>
      </c>
      <c r="B55" s="44" t="s">
        <v>95</v>
      </c>
      <c r="C55" s="45">
        <f>D55/D79</f>
        <v>8.3661285572778632E-2</v>
      </c>
      <c r="D55" s="48">
        <f t="shared" si="12"/>
        <v>2083.3333333333335</v>
      </c>
      <c r="E55" s="50">
        <v>25000</v>
      </c>
      <c r="F55" s="92"/>
      <c r="G55" s="92"/>
      <c r="H55" s="76"/>
      <c r="I55" s="76"/>
      <c r="J55" s="76"/>
      <c r="K55" s="141"/>
      <c r="L55" s="76"/>
      <c r="M55" s="76"/>
      <c r="N55" s="76"/>
      <c r="O55" s="76"/>
      <c r="P55" s="76">
        <v>11400</v>
      </c>
      <c r="Q55" s="76"/>
      <c r="R55" s="76"/>
      <c r="S55" s="122"/>
      <c r="T55" s="57">
        <f t="shared" si="10"/>
        <v>11400</v>
      </c>
      <c r="U55" s="153">
        <f t="shared" si="2"/>
        <v>13600</v>
      </c>
    </row>
    <row r="56" spans="1:21" s="58" customFormat="1" ht="12" outlineLevel="1">
      <c r="A56" s="32" t="s">
        <v>144</v>
      </c>
      <c r="B56" s="71" t="s">
        <v>91</v>
      </c>
      <c r="C56" s="45">
        <f>D56/D79</f>
        <v>0.26771611383289162</v>
      </c>
      <c r="D56" s="48">
        <f t="shared" si="12"/>
        <v>6666.666666666667</v>
      </c>
      <c r="E56" s="50">
        <v>80000</v>
      </c>
      <c r="F56" s="92"/>
      <c r="G56" s="92"/>
      <c r="H56" s="76"/>
      <c r="I56" s="76"/>
      <c r="J56" s="76">
        <v>705</v>
      </c>
      <c r="K56" s="76"/>
      <c r="L56" s="76"/>
      <c r="M56" s="76"/>
      <c r="N56" s="76"/>
      <c r="O56" s="76"/>
      <c r="P56" s="76"/>
      <c r="Q56" s="76">
        <v>35000</v>
      </c>
      <c r="R56" s="76">
        <f>43180+27596</f>
        <v>70776</v>
      </c>
      <c r="S56" s="122"/>
      <c r="T56" s="57">
        <f t="shared" si="10"/>
        <v>106481</v>
      </c>
      <c r="U56" s="153">
        <f t="shared" si="2"/>
        <v>-26481</v>
      </c>
    </row>
    <row r="57" spans="1:21" s="58" customFormat="1" ht="12" outlineLevel="1">
      <c r="A57" s="32" t="s">
        <v>145</v>
      </c>
      <c r="B57" s="44" t="s">
        <v>122</v>
      </c>
      <c r="C57" s="45">
        <f>D57/D79</f>
        <v>0.10039354268733434</v>
      </c>
      <c r="D57" s="48">
        <f t="shared" si="12"/>
        <v>2500</v>
      </c>
      <c r="E57" s="50">
        <v>30000</v>
      </c>
      <c r="F57" s="92"/>
      <c r="G57" s="92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122"/>
      <c r="T57" s="57">
        <f t="shared" si="10"/>
        <v>0</v>
      </c>
      <c r="U57" s="57">
        <f t="shared" si="2"/>
        <v>30000</v>
      </c>
    </row>
    <row r="58" spans="1:21" s="58" customFormat="1" ht="12" outlineLevel="1">
      <c r="A58" s="32" t="s">
        <v>146</v>
      </c>
      <c r="B58" s="44" t="s">
        <v>125</v>
      </c>
      <c r="C58" s="45">
        <f>D58/D79</f>
        <v>6.0236125612400611E-2</v>
      </c>
      <c r="D58" s="48">
        <f t="shared" si="12"/>
        <v>1500</v>
      </c>
      <c r="E58" s="50">
        <v>18000</v>
      </c>
      <c r="F58" s="92"/>
      <c r="G58" s="92"/>
      <c r="H58" s="76"/>
      <c r="I58" s="76"/>
      <c r="J58" s="76"/>
      <c r="K58" s="76"/>
      <c r="L58" s="76"/>
      <c r="M58" s="76">
        <f>9195+10000-4598</f>
        <v>14597</v>
      </c>
      <c r="N58" s="76"/>
      <c r="O58" s="76"/>
      <c r="P58" s="76"/>
      <c r="Q58" s="76"/>
      <c r="R58" s="76"/>
      <c r="S58" s="122"/>
      <c r="T58" s="57">
        <f t="shared" si="10"/>
        <v>14597</v>
      </c>
      <c r="U58" s="57">
        <f t="shared" si="2"/>
        <v>3403</v>
      </c>
    </row>
    <row r="59" spans="1:21" s="58" customFormat="1" ht="12" outlineLevel="1">
      <c r="A59" s="32" t="s">
        <v>147</v>
      </c>
      <c r="B59" s="71" t="s">
        <v>123</v>
      </c>
      <c r="C59" s="45">
        <f>D59/D79</f>
        <v>0.53543222766578324</v>
      </c>
      <c r="D59" s="48">
        <f t="shared" si="12"/>
        <v>13333.333333333334</v>
      </c>
      <c r="E59" s="50">
        <v>160000</v>
      </c>
      <c r="F59" s="92"/>
      <c r="G59" s="92"/>
      <c r="H59" s="76"/>
      <c r="I59" s="76"/>
      <c r="J59" s="76">
        <v>90915</v>
      </c>
      <c r="K59" s="76">
        <v>90915</v>
      </c>
      <c r="L59" s="76"/>
      <c r="M59" s="76"/>
      <c r="N59" s="76"/>
      <c r="O59" s="76"/>
      <c r="P59" s="76"/>
      <c r="Q59" s="76"/>
      <c r="R59" s="76"/>
      <c r="S59" s="122"/>
      <c r="T59" s="57">
        <f t="shared" si="10"/>
        <v>181830</v>
      </c>
      <c r="U59" s="57">
        <f t="shared" si="2"/>
        <v>-21830</v>
      </c>
    </row>
    <row r="60" spans="1:21" s="58" customFormat="1" ht="12" outlineLevel="1">
      <c r="A60" s="32" t="s">
        <v>148</v>
      </c>
      <c r="B60" s="71" t="s">
        <v>161</v>
      </c>
      <c r="C60" s="45">
        <f>D60/D79</f>
        <v>0.33464514229111453</v>
      </c>
      <c r="D60" s="48">
        <f t="shared" si="12"/>
        <v>8333.3333333333339</v>
      </c>
      <c r="E60" s="50">
        <v>100000</v>
      </c>
      <c r="F60" s="92"/>
      <c r="G60" s="92"/>
      <c r="H60" s="76"/>
      <c r="I60" s="76"/>
      <c r="J60" s="76">
        <v>118800</v>
      </c>
      <c r="K60" s="76"/>
      <c r="L60" s="76"/>
      <c r="M60" s="76"/>
      <c r="N60" s="76"/>
      <c r="O60" s="76"/>
      <c r="P60" s="76"/>
      <c r="Q60" s="76"/>
      <c r="R60" s="76"/>
      <c r="S60" s="122"/>
      <c r="T60" s="57">
        <f t="shared" si="10"/>
        <v>118800</v>
      </c>
      <c r="U60" s="153">
        <f t="shared" si="2"/>
        <v>-18800</v>
      </c>
    </row>
    <row r="61" spans="1:21" s="58" customFormat="1" ht="12" outlineLevel="1">
      <c r="A61" s="32" t="s">
        <v>149</v>
      </c>
      <c r="B61" s="44" t="s">
        <v>74</v>
      </c>
      <c r="C61" s="45">
        <f>D61/D79</f>
        <v>1.3385805691644579E-2</v>
      </c>
      <c r="D61" s="48">
        <f t="shared" si="12"/>
        <v>333.33333333333331</v>
      </c>
      <c r="E61" s="50">
        <v>4000</v>
      </c>
      <c r="F61" s="92"/>
      <c r="G61" s="92"/>
      <c r="H61" s="76"/>
      <c r="I61" s="76"/>
      <c r="J61" s="76"/>
      <c r="K61" s="76"/>
      <c r="L61" s="76"/>
      <c r="M61" s="76"/>
      <c r="N61" s="76"/>
      <c r="O61" s="76">
        <v>4000</v>
      </c>
      <c r="P61" s="76"/>
      <c r="Q61" s="76"/>
      <c r="R61" s="76"/>
      <c r="S61" s="122"/>
      <c r="T61" s="57">
        <f t="shared" si="10"/>
        <v>4000</v>
      </c>
      <c r="U61" s="153">
        <f t="shared" si="2"/>
        <v>0</v>
      </c>
    </row>
    <row r="62" spans="1:21" s="58" customFormat="1" ht="12" outlineLevel="1">
      <c r="A62" s="32" t="s">
        <v>150</v>
      </c>
      <c r="B62" s="71" t="s">
        <v>98</v>
      </c>
      <c r="C62" s="45">
        <f>D62/D79</f>
        <v>2.8110191952453619E-2</v>
      </c>
      <c r="D62" s="48">
        <f t="shared" si="12"/>
        <v>700</v>
      </c>
      <c r="E62" s="50">
        <v>8400</v>
      </c>
      <c r="F62" s="92">
        <v>700</v>
      </c>
      <c r="G62" s="92"/>
      <c r="H62" s="76">
        <v>700</v>
      </c>
      <c r="I62" s="76">
        <v>700</v>
      </c>
      <c r="J62" s="76">
        <v>700</v>
      </c>
      <c r="K62" s="76">
        <v>700</v>
      </c>
      <c r="L62" s="76">
        <v>700</v>
      </c>
      <c r="M62" s="76">
        <v>700</v>
      </c>
      <c r="N62" s="76">
        <v>700</v>
      </c>
      <c r="O62" s="76">
        <v>700</v>
      </c>
      <c r="P62" s="76">
        <v>700</v>
      </c>
      <c r="Q62" s="76">
        <v>700</v>
      </c>
      <c r="R62" s="76">
        <v>700</v>
      </c>
      <c r="S62" s="122">
        <v>700</v>
      </c>
      <c r="T62" s="57">
        <f t="shared" si="10"/>
        <v>8400</v>
      </c>
      <c r="U62" s="153">
        <f t="shared" si="2"/>
        <v>0</v>
      </c>
    </row>
    <row r="63" spans="1:21" s="58" customFormat="1" ht="12" outlineLevel="1">
      <c r="A63" s="32" t="s">
        <v>151</v>
      </c>
      <c r="B63" s="44" t="s">
        <v>97</v>
      </c>
      <c r="C63" s="45">
        <f>D63/D79</f>
        <v>0.10708644553315663</v>
      </c>
      <c r="D63" s="48">
        <f t="shared" si="12"/>
        <v>2666.6666666666665</v>
      </c>
      <c r="E63" s="50">
        <v>32000</v>
      </c>
      <c r="F63" s="92"/>
      <c r="G63" s="92"/>
      <c r="H63" s="76"/>
      <c r="I63" s="76"/>
      <c r="J63" s="76"/>
      <c r="K63" s="76"/>
      <c r="L63" s="76"/>
      <c r="M63" s="76"/>
      <c r="N63" s="141">
        <v>40000</v>
      </c>
      <c r="O63" s="76">
        <v>10905</v>
      </c>
      <c r="P63" s="76"/>
      <c r="Q63" s="76"/>
      <c r="R63" s="76"/>
      <c r="S63" s="122"/>
      <c r="T63" s="57">
        <f t="shared" si="10"/>
        <v>50905</v>
      </c>
      <c r="U63" s="153">
        <f t="shared" si="2"/>
        <v>-18905</v>
      </c>
    </row>
    <row r="64" spans="1:21" s="58" customFormat="1" ht="12" outlineLevel="1">
      <c r="A64" s="32" t="s">
        <v>152</v>
      </c>
      <c r="B64" s="44" t="s">
        <v>166</v>
      </c>
      <c r="C64" s="45">
        <f>D64/D79</f>
        <v>2.6771611383289158E-2</v>
      </c>
      <c r="D64" s="48">
        <f t="shared" si="12"/>
        <v>666.66666666666663</v>
      </c>
      <c r="E64" s="50">
        <v>8000</v>
      </c>
      <c r="F64" s="92"/>
      <c r="G64" s="92"/>
      <c r="H64" s="76"/>
      <c r="I64" s="76"/>
      <c r="J64" s="76"/>
      <c r="K64" s="76"/>
      <c r="L64" s="76">
        <f>126.9</f>
        <v>126.9</v>
      </c>
      <c r="M64" s="76"/>
      <c r="N64" s="76">
        <v>20500</v>
      </c>
      <c r="O64" s="76"/>
      <c r="P64" s="76"/>
      <c r="Q64" s="76"/>
      <c r="R64" s="76"/>
      <c r="S64" s="122"/>
      <c r="T64" s="57">
        <f t="shared" si="10"/>
        <v>20626.900000000001</v>
      </c>
      <c r="U64" s="153">
        <f t="shared" si="2"/>
        <v>-12626.900000000001</v>
      </c>
    </row>
    <row r="65" spans="1:22" s="58" customFormat="1" ht="12" outlineLevel="1">
      <c r="A65" s="32" t="s">
        <v>153</v>
      </c>
      <c r="B65" s="51" t="s">
        <v>126</v>
      </c>
      <c r="C65" s="45">
        <f>D65/D79</f>
        <v>8.3661285572778632E-2</v>
      </c>
      <c r="D65" s="52">
        <f t="shared" ref="D65:D71" si="16">E65/12</f>
        <v>2083.3333333333335</v>
      </c>
      <c r="E65" s="87">
        <v>25000</v>
      </c>
      <c r="F65" s="92"/>
      <c r="G65" s="92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122"/>
      <c r="T65" s="57">
        <f t="shared" si="10"/>
        <v>0</v>
      </c>
      <c r="U65" s="153">
        <f t="shared" si="2"/>
        <v>25000</v>
      </c>
    </row>
    <row r="66" spans="1:22" s="58" customFormat="1" ht="12" outlineLevel="1">
      <c r="A66" s="32" t="s">
        <v>154</v>
      </c>
      <c r="B66" s="51" t="s">
        <v>86</v>
      </c>
      <c r="C66" s="45">
        <f>D66/D79</f>
        <v>0.21751934248922444</v>
      </c>
      <c r="D66" s="52">
        <f t="shared" si="16"/>
        <v>5416.666666666667</v>
      </c>
      <c r="E66" s="87">
        <v>65000</v>
      </c>
      <c r="F66" s="105"/>
      <c r="G66" s="105"/>
      <c r="H66" s="97"/>
      <c r="I66" s="76"/>
      <c r="J66" s="103"/>
      <c r="K66" s="103"/>
      <c r="L66" s="103">
        <v>15500</v>
      </c>
      <c r="M66" s="103"/>
      <c r="N66" s="103"/>
      <c r="O66" s="103"/>
      <c r="P66" s="103"/>
      <c r="Q66" s="103"/>
      <c r="R66" s="103"/>
      <c r="S66" s="143"/>
      <c r="T66" s="57">
        <f t="shared" si="10"/>
        <v>15500</v>
      </c>
      <c r="U66" s="153">
        <f t="shared" si="2"/>
        <v>49500</v>
      </c>
    </row>
    <row r="67" spans="1:22" s="58" customFormat="1" ht="12" outlineLevel="1">
      <c r="A67" s="32" t="s">
        <v>155</v>
      </c>
      <c r="B67" s="80" t="s">
        <v>24</v>
      </c>
      <c r="C67" s="111">
        <f>D67/D79</f>
        <v>2.3425159960378018E-2</v>
      </c>
      <c r="D67" s="112">
        <f t="shared" si="16"/>
        <v>583.33333333333337</v>
      </c>
      <c r="E67" s="113">
        <v>7000</v>
      </c>
      <c r="F67" s="92"/>
      <c r="G67" s="92"/>
      <c r="H67" s="141"/>
      <c r="I67" s="76"/>
      <c r="J67" s="76">
        <v>400</v>
      </c>
      <c r="K67" s="76"/>
      <c r="L67" s="76"/>
      <c r="M67" s="76"/>
      <c r="N67" s="76"/>
      <c r="O67" s="76"/>
      <c r="P67" s="76"/>
      <c r="Q67" s="76"/>
      <c r="R67" s="76"/>
      <c r="S67" s="122"/>
      <c r="T67" s="57">
        <f t="shared" si="10"/>
        <v>400</v>
      </c>
      <c r="U67" s="153">
        <f t="shared" si="2"/>
        <v>6600</v>
      </c>
    </row>
    <row r="68" spans="1:22" s="58" customFormat="1" ht="12" outlineLevel="1">
      <c r="A68" s="32" t="s">
        <v>156</v>
      </c>
      <c r="B68" s="114" t="s">
        <v>124</v>
      </c>
      <c r="C68" s="115">
        <f>D68/D79</f>
        <v>0.93700639841512057</v>
      </c>
      <c r="D68" s="116">
        <f t="shared" si="16"/>
        <v>23333.333333333332</v>
      </c>
      <c r="E68" s="152">
        <v>280000</v>
      </c>
      <c r="F68" s="92"/>
      <c r="G68" s="92"/>
      <c r="H68" s="76"/>
      <c r="I68" s="76"/>
      <c r="J68" s="76"/>
      <c r="K68" s="76"/>
      <c r="L68" s="76">
        <f>250000+82000</f>
        <v>332000</v>
      </c>
      <c r="M68" s="141"/>
      <c r="N68" s="76"/>
      <c r="O68" s="76"/>
      <c r="P68" s="76"/>
      <c r="Q68" s="76"/>
      <c r="R68" s="76"/>
      <c r="S68" s="122"/>
      <c r="T68" s="57">
        <f t="shared" si="10"/>
        <v>332000</v>
      </c>
      <c r="U68" s="153">
        <f t="shared" si="2"/>
        <v>-52000</v>
      </c>
    </row>
    <row r="69" spans="1:22" s="58" customFormat="1" ht="12" outlineLevel="1">
      <c r="A69" s="32" t="s">
        <v>157</v>
      </c>
      <c r="B69" s="114" t="s">
        <v>129</v>
      </c>
      <c r="C69" s="115">
        <f>D69/D79</f>
        <v>1.6397611972264612</v>
      </c>
      <c r="D69" s="116">
        <f t="shared" si="16"/>
        <v>40833.333333333336</v>
      </c>
      <c r="E69" s="152">
        <v>490000</v>
      </c>
      <c r="F69" s="92"/>
      <c r="G69" s="92"/>
      <c r="H69" s="76"/>
      <c r="I69" s="76"/>
      <c r="J69" s="76"/>
      <c r="K69" s="76"/>
      <c r="L69" s="97"/>
      <c r="M69" s="76">
        <f>331790+20000+100000+17260</f>
        <v>469050</v>
      </c>
      <c r="N69" s="76"/>
      <c r="O69" s="97"/>
      <c r="P69" s="76"/>
      <c r="Q69" s="76"/>
      <c r="R69" s="56"/>
      <c r="S69" s="122"/>
      <c r="T69" s="57">
        <f t="shared" si="10"/>
        <v>469050</v>
      </c>
      <c r="U69" s="57">
        <f t="shared" si="2"/>
        <v>20950</v>
      </c>
    </row>
    <row r="70" spans="1:22" s="58" customFormat="1" ht="12" outlineLevel="1">
      <c r="A70" s="32" t="s">
        <v>158</v>
      </c>
      <c r="B70" s="154" t="s">
        <v>128</v>
      </c>
      <c r="C70" s="159">
        <f>D70/D79</f>
        <v>0.13613029743260247</v>
      </c>
      <c r="D70" s="155">
        <f t="shared" si="16"/>
        <v>3389.9166666666665</v>
      </c>
      <c r="E70" s="152">
        <v>40679</v>
      </c>
      <c r="F70" s="92"/>
      <c r="G70" s="76"/>
      <c r="H70" s="76"/>
      <c r="I70" s="76"/>
      <c r="J70" s="76"/>
      <c r="K70" s="76"/>
      <c r="L70" s="97"/>
      <c r="M70" s="76"/>
      <c r="N70" s="76"/>
      <c r="O70" s="97"/>
      <c r="P70" s="76"/>
      <c r="Q70" s="76"/>
      <c r="R70" s="56"/>
      <c r="S70" s="158"/>
      <c r="T70" s="57">
        <f t="shared" si="10"/>
        <v>0</v>
      </c>
      <c r="U70" s="153">
        <f t="shared" si="2"/>
        <v>40679</v>
      </c>
    </row>
    <row r="71" spans="1:22" s="58" customFormat="1" outlineLevel="1" thickBot="1">
      <c r="A71" s="32" t="s">
        <v>159</v>
      </c>
      <c r="B71" s="71" t="s">
        <v>104</v>
      </c>
      <c r="C71" s="107">
        <f>D71/D79</f>
        <v>2.007870853746687E-2</v>
      </c>
      <c r="D71" s="108">
        <f t="shared" si="16"/>
        <v>500</v>
      </c>
      <c r="E71" s="156">
        <v>6000</v>
      </c>
      <c r="F71" s="109"/>
      <c r="G71" s="109"/>
      <c r="H71" s="110"/>
      <c r="I71" s="110"/>
      <c r="J71" s="110"/>
      <c r="K71" s="110"/>
      <c r="L71" s="110"/>
      <c r="M71" s="110"/>
      <c r="N71" s="110">
        <f>156.1+250</f>
        <v>406.1</v>
      </c>
      <c r="O71" s="110"/>
      <c r="P71" s="110"/>
      <c r="Q71" s="110"/>
      <c r="R71" s="110"/>
      <c r="S71" s="145"/>
      <c r="T71" s="70">
        <f t="shared" si="10"/>
        <v>406.1</v>
      </c>
      <c r="U71" s="153">
        <f>E71-T71</f>
        <v>5593.9</v>
      </c>
    </row>
    <row r="72" spans="1:22" ht="13.5" thickBot="1">
      <c r="A72" s="27">
        <v>13</v>
      </c>
      <c r="B72" s="5" t="s">
        <v>92</v>
      </c>
      <c r="C72" s="41">
        <f>D72/D79</f>
        <v>0</v>
      </c>
      <c r="D72" s="16">
        <f t="shared" si="12"/>
        <v>0</v>
      </c>
      <c r="E72" s="67">
        <v>0</v>
      </c>
      <c r="F72" s="106"/>
      <c r="G72" s="104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135"/>
      <c r="T72" s="23">
        <f t="shared" si="10"/>
        <v>0</v>
      </c>
      <c r="U72" s="166">
        <f>E72-T72</f>
        <v>0</v>
      </c>
    </row>
    <row r="73" spans="1:22" ht="13.5" thickBot="1">
      <c r="A73" s="27">
        <v>14</v>
      </c>
      <c r="B73" s="6" t="s">
        <v>26</v>
      </c>
      <c r="C73" s="37">
        <f>D73/D79</f>
        <v>3.487337027815704E-2</v>
      </c>
      <c r="D73" s="16">
        <f t="shared" si="12"/>
        <v>868.41666666666663</v>
      </c>
      <c r="E73" s="67">
        <v>10421</v>
      </c>
      <c r="F73" s="106">
        <v>30990</v>
      </c>
      <c r="G73" s="104"/>
      <c r="H73" s="95">
        <v>720</v>
      </c>
      <c r="I73" s="95"/>
      <c r="J73" s="95">
        <f>10900+1800+400</f>
        <v>13100</v>
      </c>
      <c r="K73" s="95"/>
      <c r="L73" s="95">
        <f>1150+1967.5</f>
        <v>3117.5</v>
      </c>
      <c r="M73" s="95">
        <f>500+610+18087.85</f>
        <v>19197.849999999999</v>
      </c>
      <c r="N73" s="95">
        <f>3200</f>
        <v>3200</v>
      </c>
      <c r="O73" s="95">
        <v>75000</v>
      </c>
      <c r="P73" s="95">
        <f>11261+75000</f>
        <v>86261</v>
      </c>
      <c r="Q73" s="95"/>
      <c r="R73" s="95"/>
      <c r="S73" s="135">
        <f>12240+1149</f>
        <v>13389</v>
      </c>
      <c r="T73" s="125">
        <f t="shared" si="10"/>
        <v>213985.35</v>
      </c>
      <c r="U73" s="189">
        <f>E73-T73</f>
        <v>-203564.35</v>
      </c>
    </row>
    <row r="74" spans="1:22" ht="13.5" thickBot="1">
      <c r="A74" s="61">
        <v>15</v>
      </c>
      <c r="B74" s="62" t="s">
        <v>119</v>
      </c>
      <c r="C74" s="88">
        <f>D74/D79</f>
        <v>-1.350293149144647</v>
      </c>
      <c r="D74" s="60">
        <f t="shared" si="12"/>
        <v>-33625</v>
      </c>
      <c r="E74" s="63">
        <v>-403500</v>
      </c>
      <c r="F74" s="46"/>
      <c r="G74" s="93">
        <v>3000</v>
      </c>
      <c r="H74" s="47">
        <v>3000</v>
      </c>
      <c r="I74" s="47">
        <f>89250+3000</f>
        <v>92250</v>
      </c>
      <c r="J74" s="47">
        <v>3000</v>
      </c>
      <c r="K74" s="47">
        <v>3000</v>
      </c>
      <c r="L74" s="47">
        <v>3000</v>
      </c>
      <c r="M74" s="47">
        <v>3000</v>
      </c>
      <c r="N74" s="47">
        <f>172500+3000</f>
        <v>175500</v>
      </c>
      <c r="O74" s="47">
        <v>3000</v>
      </c>
      <c r="P74" s="47">
        <v>3000</v>
      </c>
      <c r="Q74" s="47">
        <f>86250+3000</f>
        <v>89250</v>
      </c>
      <c r="R74" s="47">
        <f>3000+23000</f>
        <v>26000</v>
      </c>
      <c r="S74" s="118">
        <v>3000</v>
      </c>
      <c r="T74" s="151">
        <f>-SUM(G74:S74)</f>
        <v>-410000</v>
      </c>
      <c r="U74" s="82">
        <f>E74-T74</f>
        <v>6500</v>
      </c>
    </row>
    <row r="75" spans="1:22" ht="13.5" thickBot="1">
      <c r="A75" s="161">
        <v>16</v>
      </c>
      <c r="B75" s="162" t="s">
        <v>120</v>
      </c>
      <c r="C75" s="163">
        <f>D75/D79</f>
        <v>8.1017588948678818E-2</v>
      </c>
      <c r="D75" s="164">
        <f t="shared" si="12"/>
        <v>2017.5</v>
      </c>
      <c r="E75" s="165">
        <v>24210</v>
      </c>
      <c r="F75" s="181"/>
      <c r="G75" s="182"/>
      <c r="H75" s="183"/>
      <c r="J75" s="183">
        <v>5265</v>
      </c>
      <c r="K75" s="183"/>
      <c r="L75" s="183"/>
      <c r="M75" s="183">
        <v>5250</v>
      </c>
      <c r="N75" s="183"/>
      <c r="O75" s="183"/>
      <c r="P75" s="183"/>
      <c r="Q75" s="183">
        <v>5250</v>
      </c>
      <c r="R75" s="183"/>
      <c r="S75" s="184">
        <v>5397</v>
      </c>
      <c r="T75" s="166">
        <f>SUM(G75:S75)</f>
        <v>21162</v>
      </c>
      <c r="U75" s="166">
        <f>E75-T75</f>
        <v>3048</v>
      </c>
    </row>
    <row r="76" spans="1:22" ht="13.5" thickBot="1">
      <c r="A76" s="61">
        <v>17</v>
      </c>
      <c r="B76" s="62" t="s">
        <v>114</v>
      </c>
      <c r="C76" s="59">
        <f>D76/D79</f>
        <v>-2.1588426632399003</v>
      </c>
      <c r="D76" s="60">
        <f t="shared" si="12"/>
        <v>-53759.5</v>
      </c>
      <c r="E76" s="63">
        <v>-645114</v>
      </c>
      <c r="F76" s="185"/>
      <c r="G76" s="186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8"/>
      <c r="T76" s="151">
        <f>E76</f>
        <v>-645114</v>
      </c>
      <c r="U76" s="82"/>
    </row>
    <row r="77" spans="1:22" ht="13.5" thickBot="1">
      <c r="A77" s="192" t="s">
        <v>27</v>
      </c>
      <c r="B77" s="193"/>
      <c r="C77" s="64">
        <f>D77/D79</f>
        <v>11.001410194629615</v>
      </c>
      <c r="D77" s="65">
        <f t="shared" si="12"/>
        <v>273957.1166666667</v>
      </c>
      <c r="E77" s="66">
        <f>E5+E6+E7+E8+E9+E12+E17+E18+E25+E31+E45+E54+E72+E73+E74+E75+E76</f>
        <v>3287485.4000000004</v>
      </c>
      <c r="F77" s="129">
        <f>F5+F6+F7+F8+F9+F12+F17+F18+F25+F31+F45+F54+F72+F73-F74+F75-F76</f>
        <v>142744.28</v>
      </c>
      <c r="G77" s="129">
        <f>G5+G6+G7+G8+G9+G12+G17+G18+G25+G31+G45+G54+G72+G73-G74+G75-G76</f>
        <v>145207.62</v>
      </c>
      <c r="H77" s="129">
        <f>H5+H6+H7+H8+H9+H12+H17+H18+H25+H31+H45+H54+H72+H73-H74+H75-H76</f>
        <v>173121.89</v>
      </c>
      <c r="I77" s="129">
        <f>I5+I6+I7+I8+I9+I12+I17+I18+I25+I31+I45+I54+I72+I73-I74+J75-I76</f>
        <v>23804.910000000003</v>
      </c>
      <c r="J77" s="129">
        <f>J5+J6+J7+J8+J9+J12+J17+J18+J25+J31+J45+J54+J72+J73-J74+K75-J76</f>
        <v>503594.92</v>
      </c>
      <c r="K77" s="129">
        <f t="shared" ref="K77:S77" si="17">K5+K6+K7+K8+K9+K12+K17+K18+K25+K31+K45+K54+K72+K73-K74+K75-K76</f>
        <v>290500.02</v>
      </c>
      <c r="L77" s="129">
        <f t="shared" si="17"/>
        <v>501198.36</v>
      </c>
      <c r="M77" s="129">
        <f>M5+M6+M7+M8+M9+M12+M17+M18+M25+M31+M45+M54+M72+M73-M74+M75-M76</f>
        <v>738805.95</v>
      </c>
      <c r="N77" s="129">
        <f>N5+N6+N7+N8+N9+N12+N17+N18+N25+N31+N45+N54+N72+N73-N74+N75-N76</f>
        <v>144239.25</v>
      </c>
      <c r="O77" s="129">
        <f t="shared" si="17"/>
        <v>274236.27</v>
      </c>
      <c r="P77" s="129">
        <f t="shared" si="17"/>
        <v>388754.85499999998</v>
      </c>
      <c r="Q77" s="129">
        <f t="shared" si="17"/>
        <v>136679.5</v>
      </c>
      <c r="R77" s="129">
        <f t="shared" si="17"/>
        <v>363122.01</v>
      </c>
      <c r="S77" s="129">
        <f t="shared" si="17"/>
        <v>69194</v>
      </c>
      <c r="T77" s="167">
        <f>T5+T6+T7+T8+T9+T12+T17+T18+T25+T31+T45+T54+T72+T73+T74+T75+T76</f>
        <v>3107345.5550000002</v>
      </c>
      <c r="U77" s="26">
        <f>U5+U6+U7+U8+U9+U12+U17+U18+U25+U31+U45+U54+U72+U73+U74+U75+U76</f>
        <v>180139.84500000006</v>
      </c>
      <c r="V77" s="130">
        <f>E77-T77</f>
        <v>180139.8450000002</v>
      </c>
    </row>
    <row r="78" spans="1:22" s="11" customFormat="1" ht="11.25">
      <c r="G78" s="132"/>
      <c r="H78" s="132"/>
      <c r="I78" s="132"/>
      <c r="J78" s="132"/>
      <c r="K78" s="132"/>
      <c r="R78" s="132"/>
    </row>
    <row r="79" spans="1:22">
      <c r="A79" s="133" t="s">
        <v>28</v>
      </c>
      <c r="B79" s="133"/>
      <c r="C79" s="35"/>
      <c r="D79" s="1">
        <v>24902</v>
      </c>
      <c r="E79" s="2" t="s">
        <v>29</v>
      </c>
      <c r="F79" s="130"/>
      <c r="T79" s="130"/>
    </row>
    <row r="80" spans="1:22" s="11" customFormat="1" ht="11.25">
      <c r="G80" s="131"/>
      <c r="U80" s="131"/>
    </row>
    <row r="81" spans="1:8">
      <c r="A81" s="196" t="s">
        <v>115</v>
      </c>
      <c r="B81" s="196"/>
      <c r="C81" s="34"/>
      <c r="F81" s="130"/>
      <c r="H81" s="130"/>
    </row>
    <row r="82" spans="1:8">
      <c r="A82" s="196" t="s">
        <v>30</v>
      </c>
      <c r="B82" s="196"/>
      <c r="C82" s="34"/>
      <c r="D82" s="36">
        <f>D77/D79</f>
        <v>11.001410194629615</v>
      </c>
      <c r="E82" s="2" t="s">
        <v>31</v>
      </c>
    </row>
  </sheetData>
  <sheetProtection selectLockedCells="1" selectUnlockedCells="1"/>
  <mergeCells count="9">
    <mergeCell ref="A81:B81"/>
    <mergeCell ref="A82:B82"/>
    <mergeCell ref="F3:R3"/>
    <mergeCell ref="T3:T4"/>
    <mergeCell ref="A1:E1"/>
    <mergeCell ref="A2:E2"/>
    <mergeCell ref="A3:E3"/>
    <mergeCell ref="A77:B77"/>
    <mergeCell ref="U3:U4"/>
  </mergeCells>
  <phoneticPr fontId="4" type="noConversion"/>
  <pageMargins left="0.59055118110236227" right="0.19685039370078741" top="0.19685039370078741" bottom="0.19685039370078741" header="0.51181102362204722" footer="0.51181102362204722"/>
  <pageSetup paperSize="9" scale="54" firstPageNumber="0" orientation="landscape" horizontalDpi="300" verticalDpi="300" r:id="rId1"/>
  <headerFooter alignWithMargins="0"/>
  <ignoredErrors>
    <ignoredError sqref="G54:H54 E54 H14 T62 T43 T23 T26:T27 T32" formulaRange="1"/>
    <ignoredError sqref="D7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opLeftCell="A61" workbookViewId="0">
      <selection activeCell="A2" sqref="A2:E2"/>
    </sheetView>
  </sheetViews>
  <sheetFormatPr defaultRowHeight="12.75"/>
  <cols>
    <col min="1" max="1" width="6.7109375" customWidth="1"/>
    <col min="2" max="2" width="76.28515625" customWidth="1"/>
    <col min="3" max="3" width="11.7109375" customWidth="1"/>
    <col min="4" max="4" width="10.28515625" customWidth="1"/>
    <col min="5" max="5" width="11.140625" customWidth="1"/>
  </cols>
  <sheetData>
    <row r="1" spans="1:5" ht="60.6" customHeight="1">
      <c r="C1" s="199" t="s">
        <v>165</v>
      </c>
      <c r="D1" s="199"/>
      <c r="E1" s="199"/>
    </row>
    <row r="2" spans="1:5">
      <c r="A2" s="190" t="s">
        <v>0</v>
      </c>
      <c r="B2" s="190"/>
      <c r="C2" s="190"/>
      <c r="D2" s="190"/>
      <c r="E2" s="190"/>
    </row>
    <row r="3" spans="1:5">
      <c r="A3" s="190" t="s">
        <v>116</v>
      </c>
      <c r="B3" s="190"/>
      <c r="C3" s="190"/>
      <c r="D3" s="190"/>
      <c r="E3" s="190"/>
    </row>
    <row r="4" spans="1:5" ht="13.5" thickBot="1">
      <c r="A4" s="191"/>
      <c r="B4" s="191"/>
      <c r="C4" s="191"/>
      <c r="D4" s="191"/>
      <c r="E4" s="191"/>
    </row>
    <row r="5" spans="1:5" ht="39" thickBot="1">
      <c r="A5" s="9" t="s">
        <v>1</v>
      </c>
      <c r="B5" s="10" t="s">
        <v>2</v>
      </c>
      <c r="C5" s="13" t="s">
        <v>164</v>
      </c>
      <c r="D5" s="13" t="s">
        <v>3</v>
      </c>
      <c r="E5" s="20" t="s">
        <v>4</v>
      </c>
    </row>
    <row r="6" spans="1:5" ht="13.5" thickBot="1">
      <c r="A6" s="27">
        <v>1</v>
      </c>
      <c r="B6" s="6" t="s">
        <v>106</v>
      </c>
      <c r="C6" s="37">
        <f>D6/D80</f>
        <v>4.2934603646293468</v>
      </c>
      <c r="D6" s="16">
        <f t="shared" ref="D6:D69" si="0">E6/12</f>
        <v>106915.75</v>
      </c>
      <c r="E6" s="67">
        <v>1282989</v>
      </c>
    </row>
    <row r="7" spans="1:5" ht="13.5" thickBot="1">
      <c r="A7" s="27">
        <v>2</v>
      </c>
      <c r="B7" s="6" t="s">
        <v>117</v>
      </c>
      <c r="C7" s="37">
        <f>D7/D80</f>
        <v>0.6812705806762509</v>
      </c>
      <c r="D7" s="16">
        <f t="shared" si="0"/>
        <v>16965</v>
      </c>
      <c r="E7" s="67">
        <v>203580</v>
      </c>
    </row>
    <row r="8" spans="1:5" ht="13.5" thickBot="1">
      <c r="A8" s="27">
        <v>3</v>
      </c>
      <c r="B8" s="6" t="s">
        <v>118</v>
      </c>
      <c r="C8" s="37">
        <f>D8/D80</f>
        <v>1.7402230075228229</v>
      </c>
      <c r="D8" s="16">
        <f t="shared" si="0"/>
        <v>43335.033333333333</v>
      </c>
      <c r="E8" s="67">
        <v>520020.4</v>
      </c>
    </row>
    <row r="9" spans="1:5" ht="13.5" thickBot="1">
      <c r="A9" s="27">
        <v>4</v>
      </c>
      <c r="B9" s="6" t="s">
        <v>105</v>
      </c>
      <c r="C9" s="37">
        <f>D9/D80</f>
        <v>0.13385805691644581</v>
      </c>
      <c r="D9" s="16">
        <f t="shared" si="0"/>
        <v>3333.3333333333335</v>
      </c>
      <c r="E9" s="67">
        <v>40000</v>
      </c>
    </row>
    <row r="10" spans="1:5">
      <c r="A10" s="157">
        <v>5</v>
      </c>
      <c r="B10" s="7" t="s">
        <v>5</v>
      </c>
      <c r="C10" s="38">
        <f>D10/D80</f>
        <v>3.0118062806200305E-2</v>
      </c>
      <c r="D10" s="17">
        <f t="shared" si="0"/>
        <v>750</v>
      </c>
      <c r="E10" s="68">
        <f>E11+E12</f>
        <v>9000</v>
      </c>
    </row>
    <row r="11" spans="1:5">
      <c r="A11" s="32" t="s">
        <v>45</v>
      </c>
      <c r="B11" s="44" t="s">
        <v>96</v>
      </c>
      <c r="C11" s="45">
        <f>D11/D80</f>
        <v>2.3425159960378018E-2</v>
      </c>
      <c r="D11" s="48">
        <f t="shared" si="0"/>
        <v>583.33333333333337</v>
      </c>
      <c r="E11" s="50">
        <v>7000</v>
      </c>
    </row>
    <row r="12" spans="1:5" ht="13.5" thickBot="1">
      <c r="A12" s="32" t="s">
        <v>46</v>
      </c>
      <c r="B12" s="53" t="s">
        <v>6</v>
      </c>
      <c r="C12" s="54">
        <f>D12/D80</f>
        <v>6.6929028458222895E-3</v>
      </c>
      <c r="D12" s="49">
        <f t="shared" si="0"/>
        <v>166.66666666666666</v>
      </c>
      <c r="E12" s="69">
        <v>2000</v>
      </c>
    </row>
    <row r="13" spans="1:5">
      <c r="A13" s="28" t="s">
        <v>107</v>
      </c>
      <c r="B13" s="7" t="s">
        <v>7</v>
      </c>
      <c r="C13" s="38">
        <f>D13/D80</f>
        <v>0.15393676545391269</v>
      </c>
      <c r="D13" s="17">
        <f t="shared" si="0"/>
        <v>3833.3333333333335</v>
      </c>
      <c r="E13" s="68">
        <f>SUM(E14:E15)</f>
        <v>46000</v>
      </c>
    </row>
    <row r="14" spans="1:5">
      <c r="A14" s="32" t="s">
        <v>131</v>
      </c>
      <c r="B14" s="71" t="s">
        <v>8</v>
      </c>
      <c r="C14" s="45">
        <f>D14/D80</f>
        <v>0.12047225122480122</v>
      </c>
      <c r="D14" s="48">
        <f t="shared" si="0"/>
        <v>3000</v>
      </c>
      <c r="E14" s="50">
        <v>36000</v>
      </c>
    </row>
    <row r="15" spans="1:5">
      <c r="A15" s="32" t="s">
        <v>132</v>
      </c>
      <c r="B15" s="44" t="s">
        <v>9</v>
      </c>
      <c r="C15" s="45">
        <f>D15/D80</f>
        <v>3.3464514229111453E-2</v>
      </c>
      <c r="D15" s="48">
        <f t="shared" si="0"/>
        <v>833.33333333333337</v>
      </c>
      <c r="E15" s="50">
        <f>E16+E17</f>
        <v>10000</v>
      </c>
    </row>
    <row r="16" spans="1:5">
      <c r="A16" s="30" t="s">
        <v>133</v>
      </c>
      <c r="B16" s="3" t="s">
        <v>10</v>
      </c>
      <c r="C16" s="39"/>
      <c r="D16" s="18">
        <f t="shared" si="0"/>
        <v>250</v>
      </c>
      <c r="E16" s="83">
        <v>3000</v>
      </c>
    </row>
    <row r="17" spans="1:5" ht="13.5" thickBot="1">
      <c r="A17" s="31" t="s">
        <v>134</v>
      </c>
      <c r="B17" s="4" t="s">
        <v>71</v>
      </c>
      <c r="C17" s="40"/>
      <c r="D17" s="19">
        <f t="shared" si="0"/>
        <v>583.33333333333337</v>
      </c>
      <c r="E17" s="84">
        <v>7000</v>
      </c>
    </row>
    <row r="18" spans="1:5" ht="13.5" thickBot="1">
      <c r="A18" s="29" t="s">
        <v>108</v>
      </c>
      <c r="B18" s="6" t="s">
        <v>11</v>
      </c>
      <c r="C18" s="37">
        <f>D18/D80</f>
        <v>1.6732257114555726E-2</v>
      </c>
      <c r="D18" s="16">
        <f t="shared" si="0"/>
        <v>416.66666666666669</v>
      </c>
      <c r="E18" s="67">
        <v>5000</v>
      </c>
    </row>
    <row r="19" spans="1:5">
      <c r="A19" s="28" t="s">
        <v>109</v>
      </c>
      <c r="B19" s="7" t="s">
        <v>69</v>
      </c>
      <c r="C19" s="38">
        <f>D19/D80</f>
        <v>0.14356276604288812</v>
      </c>
      <c r="D19" s="17">
        <f t="shared" si="0"/>
        <v>3575</v>
      </c>
      <c r="E19" s="68">
        <f>SUM(E20:E22)</f>
        <v>42900</v>
      </c>
    </row>
    <row r="20" spans="1:5">
      <c r="A20" s="32" t="s">
        <v>47</v>
      </c>
      <c r="B20" s="44" t="s">
        <v>88</v>
      </c>
      <c r="C20" s="45">
        <f>D20/D80</f>
        <v>5.0196771343667172E-2</v>
      </c>
      <c r="D20" s="48">
        <f t="shared" si="0"/>
        <v>1250</v>
      </c>
      <c r="E20" s="50">
        <v>15000</v>
      </c>
    </row>
    <row r="21" spans="1:5">
      <c r="A21" s="32" t="s">
        <v>48</v>
      </c>
      <c r="B21" s="44" t="s">
        <v>72</v>
      </c>
      <c r="C21" s="45">
        <f>D21/D80</f>
        <v>2.007870853746687E-2</v>
      </c>
      <c r="D21" s="48">
        <f t="shared" si="0"/>
        <v>500</v>
      </c>
      <c r="E21" s="50">
        <v>6000</v>
      </c>
    </row>
    <row r="22" spans="1:5">
      <c r="A22" s="32" t="s">
        <v>49</v>
      </c>
      <c r="B22" s="44" t="s">
        <v>68</v>
      </c>
      <c r="C22" s="45">
        <f>D22/D80</f>
        <v>7.3287286161754076E-2</v>
      </c>
      <c r="D22" s="48">
        <f t="shared" si="0"/>
        <v>1825</v>
      </c>
      <c r="E22" s="50">
        <f>SUM(E23:E25)</f>
        <v>21900</v>
      </c>
    </row>
    <row r="23" spans="1:5">
      <c r="A23" s="30" t="s">
        <v>135</v>
      </c>
      <c r="B23" s="3" t="s">
        <v>70</v>
      </c>
      <c r="C23" s="39"/>
      <c r="D23" s="18">
        <f t="shared" si="0"/>
        <v>75</v>
      </c>
      <c r="E23" s="83">
        <v>900</v>
      </c>
    </row>
    <row r="24" spans="1:5">
      <c r="A24" s="30" t="s">
        <v>136</v>
      </c>
      <c r="B24" s="77" t="s">
        <v>94</v>
      </c>
      <c r="C24" s="78"/>
      <c r="D24" s="79">
        <f t="shared" si="0"/>
        <v>500</v>
      </c>
      <c r="E24" s="85">
        <v>6000</v>
      </c>
    </row>
    <row r="25" spans="1:5" ht="13.5" thickBot="1">
      <c r="A25" s="30" t="s">
        <v>137</v>
      </c>
      <c r="B25" s="77" t="s">
        <v>93</v>
      </c>
      <c r="C25" s="78"/>
      <c r="D25" s="79">
        <f t="shared" si="0"/>
        <v>1250</v>
      </c>
      <c r="E25" s="85">
        <v>15000</v>
      </c>
    </row>
    <row r="26" spans="1:5">
      <c r="A26" s="28" t="s">
        <v>110</v>
      </c>
      <c r="B26" s="7" t="s">
        <v>12</v>
      </c>
      <c r="C26" s="38">
        <f>D26/D80</f>
        <v>8.7007736995689769E-2</v>
      </c>
      <c r="D26" s="17">
        <f t="shared" si="0"/>
        <v>2166.6666666666665</v>
      </c>
      <c r="E26" s="68">
        <f>SUM(E27:E31)</f>
        <v>26000</v>
      </c>
    </row>
    <row r="27" spans="1:5">
      <c r="A27" s="32" t="s">
        <v>50</v>
      </c>
      <c r="B27" s="44" t="s">
        <v>13</v>
      </c>
      <c r="C27" s="45">
        <f>D27/D80</f>
        <v>1.6732257114555726E-2</v>
      </c>
      <c r="D27" s="48">
        <f t="shared" si="0"/>
        <v>416.66666666666669</v>
      </c>
      <c r="E27" s="50">
        <v>5000</v>
      </c>
    </row>
    <row r="28" spans="1:5">
      <c r="A28" s="32" t="s">
        <v>51</v>
      </c>
      <c r="B28" s="44" t="s">
        <v>14</v>
      </c>
      <c r="C28" s="45">
        <f>D28/D80</f>
        <v>2.007870853746687E-2</v>
      </c>
      <c r="D28" s="48">
        <f t="shared" si="0"/>
        <v>500</v>
      </c>
      <c r="E28" s="50">
        <v>6000</v>
      </c>
    </row>
    <row r="29" spans="1:5">
      <c r="A29" s="32" t="s">
        <v>52</v>
      </c>
      <c r="B29" s="44" t="s">
        <v>15</v>
      </c>
      <c r="C29" s="45">
        <f>D29/D80</f>
        <v>2.007870853746687E-2</v>
      </c>
      <c r="D29" s="48">
        <f t="shared" si="0"/>
        <v>500</v>
      </c>
      <c r="E29" s="50">
        <v>6000</v>
      </c>
    </row>
    <row r="30" spans="1:5">
      <c r="A30" s="32" t="s">
        <v>53</v>
      </c>
      <c r="B30" s="44" t="s">
        <v>16</v>
      </c>
      <c r="C30" s="45">
        <f>D30/D80</f>
        <v>3.3464514229111448E-3</v>
      </c>
      <c r="D30" s="48">
        <f t="shared" si="0"/>
        <v>83.333333333333329</v>
      </c>
      <c r="E30" s="50">
        <v>1000</v>
      </c>
    </row>
    <row r="31" spans="1:5" ht="13.5" thickBot="1">
      <c r="A31" s="33" t="s">
        <v>54</v>
      </c>
      <c r="B31" s="53" t="s">
        <v>84</v>
      </c>
      <c r="C31" s="54">
        <f>D31/D80</f>
        <v>2.6771611383289158E-2</v>
      </c>
      <c r="D31" s="49">
        <f t="shared" si="0"/>
        <v>666.66666666666663</v>
      </c>
      <c r="E31" s="69">
        <v>8000</v>
      </c>
    </row>
    <row r="32" spans="1:5" ht="25.5">
      <c r="A32" s="28" t="s">
        <v>111</v>
      </c>
      <c r="B32" s="8" t="s">
        <v>17</v>
      </c>
      <c r="C32" s="42">
        <f>D32/D80</f>
        <v>0.95005755896447397</v>
      </c>
      <c r="D32" s="43">
        <f t="shared" si="0"/>
        <v>23658.333333333332</v>
      </c>
      <c r="E32" s="86">
        <f>SUM(E33:E45)</f>
        <v>283900</v>
      </c>
    </row>
    <row r="33" spans="1:5">
      <c r="A33" s="32" t="s">
        <v>56</v>
      </c>
      <c r="B33" s="44" t="s">
        <v>99</v>
      </c>
      <c r="C33" s="45">
        <f>D33/D80</f>
        <v>4.8188900489920486E-2</v>
      </c>
      <c r="D33" s="48">
        <f t="shared" si="0"/>
        <v>1200</v>
      </c>
      <c r="E33" s="50">
        <v>14400</v>
      </c>
    </row>
    <row r="34" spans="1:5">
      <c r="A34" s="32" t="s">
        <v>57</v>
      </c>
      <c r="B34" s="80" t="s">
        <v>55</v>
      </c>
      <c r="C34" s="45">
        <f>D34/D80</f>
        <v>0.16732257114555726</v>
      </c>
      <c r="D34" s="48">
        <f t="shared" si="0"/>
        <v>4166.666666666667</v>
      </c>
      <c r="E34" s="50">
        <v>50000</v>
      </c>
    </row>
    <row r="35" spans="1:5">
      <c r="A35" s="32" t="s">
        <v>58</v>
      </c>
      <c r="B35" s="81" t="s">
        <v>18</v>
      </c>
      <c r="C35" s="45">
        <f>D35/D80</f>
        <v>0.10039354268733434</v>
      </c>
      <c r="D35" s="48">
        <f t="shared" si="0"/>
        <v>2500</v>
      </c>
      <c r="E35" s="50">
        <v>30000</v>
      </c>
    </row>
    <row r="36" spans="1:5">
      <c r="A36" s="32" t="s">
        <v>73</v>
      </c>
      <c r="B36" s="44" t="s">
        <v>19</v>
      </c>
      <c r="C36" s="45">
        <f>D36/D80</f>
        <v>0.10039354268733434</v>
      </c>
      <c r="D36" s="48">
        <f t="shared" si="0"/>
        <v>2500</v>
      </c>
      <c r="E36" s="50">
        <v>30000</v>
      </c>
    </row>
    <row r="37" spans="1:5">
      <c r="A37" s="32" t="s">
        <v>75</v>
      </c>
      <c r="B37" s="44" t="s">
        <v>20</v>
      </c>
      <c r="C37" s="45">
        <f>D37/D80</f>
        <v>2.007870853746687E-2</v>
      </c>
      <c r="D37" s="48">
        <f t="shared" si="0"/>
        <v>500</v>
      </c>
      <c r="E37" s="50">
        <v>6000</v>
      </c>
    </row>
    <row r="38" spans="1:5">
      <c r="A38" s="32" t="s">
        <v>79</v>
      </c>
      <c r="B38" s="44" t="s">
        <v>100</v>
      </c>
      <c r="C38" s="45">
        <f>D38/D83</f>
        <v>22.727269961610727</v>
      </c>
      <c r="D38" s="48">
        <f t="shared" si="0"/>
        <v>250</v>
      </c>
      <c r="E38" s="50">
        <v>3000</v>
      </c>
    </row>
    <row r="39" spans="1:5">
      <c r="A39" s="32" t="s">
        <v>82</v>
      </c>
      <c r="B39" s="44" t="s">
        <v>101</v>
      </c>
      <c r="C39" s="45">
        <f>D39/D83</f>
        <v>22.727269961610727</v>
      </c>
      <c r="D39" s="48">
        <f t="shared" si="0"/>
        <v>250</v>
      </c>
      <c r="E39" s="50">
        <v>3000</v>
      </c>
    </row>
    <row r="40" spans="1:5">
      <c r="A40" s="32" t="s">
        <v>103</v>
      </c>
      <c r="B40" s="44" t="s">
        <v>21</v>
      </c>
      <c r="C40" s="45">
        <f>D40/D80</f>
        <v>4.0157417074933741E-2</v>
      </c>
      <c r="D40" s="48">
        <f t="shared" si="0"/>
        <v>1000</v>
      </c>
      <c r="E40" s="50">
        <v>12000</v>
      </c>
    </row>
    <row r="41" spans="1:5">
      <c r="A41" s="32" t="s">
        <v>138</v>
      </c>
      <c r="B41" s="44" t="s">
        <v>22</v>
      </c>
      <c r="C41" s="45">
        <f>D41/D80</f>
        <v>2.6771611383289158E-2</v>
      </c>
      <c r="D41" s="48">
        <f t="shared" si="0"/>
        <v>666.66666666666663</v>
      </c>
      <c r="E41" s="50">
        <v>8000</v>
      </c>
    </row>
    <row r="42" spans="1:5">
      <c r="A42" s="32" t="s">
        <v>139</v>
      </c>
      <c r="B42" s="44" t="s">
        <v>81</v>
      </c>
      <c r="C42" s="45">
        <f>D42/D80</f>
        <v>0.12047225122480122</v>
      </c>
      <c r="D42" s="48">
        <f t="shared" si="0"/>
        <v>3000</v>
      </c>
      <c r="E42" s="50">
        <v>36000</v>
      </c>
    </row>
    <row r="43" spans="1:5">
      <c r="A43" s="32" t="s">
        <v>140</v>
      </c>
      <c r="B43" s="71" t="s">
        <v>78</v>
      </c>
      <c r="C43" s="45">
        <f>D43/D80</f>
        <v>0.12716515407062351</v>
      </c>
      <c r="D43" s="48">
        <f t="shared" si="0"/>
        <v>3166.6666666666665</v>
      </c>
      <c r="E43" s="50">
        <v>38000</v>
      </c>
    </row>
    <row r="44" spans="1:5">
      <c r="A44" s="32" t="s">
        <v>141</v>
      </c>
      <c r="B44" s="44" t="s">
        <v>23</v>
      </c>
      <c r="C44" s="45">
        <f>D44/D80</f>
        <v>9.5373865552967632E-2</v>
      </c>
      <c r="D44" s="48">
        <f t="shared" si="0"/>
        <v>2375</v>
      </c>
      <c r="E44" s="50">
        <v>28500</v>
      </c>
    </row>
    <row r="45" spans="1:5" ht="13.5" thickBot="1">
      <c r="A45" s="32" t="s">
        <v>142</v>
      </c>
      <c r="B45" s="58" t="s">
        <v>90</v>
      </c>
      <c r="C45" s="160">
        <f>D45/D80</f>
        <v>8.3661285572778632E-2</v>
      </c>
      <c r="D45" s="48">
        <f t="shared" si="0"/>
        <v>2083.3333333333335</v>
      </c>
      <c r="E45" s="50">
        <v>25000</v>
      </c>
    </row>
    <row r="46" spans="1:5">
      <c r="A46" s="28" t="s">
        <v>112</v>
      </c>
      <c r="B46" s="7" t="s">
        <v>102</v>
      </c>
      <c r="C46" s="38">
        <f>D46/D80</f>
        <v>1.5494070088078602</v>
      </c>
      <c r="D46" s="17">
        <f t="shared" si="0"/>
        <v>38583.333333333336</v>
      </c>
      <c r="E46" s="68">
        <f>SUM(E47:E54)</f>
        <v>463000</v>
      </c>
    </row>
    <row r="47" spans="1:5">
      <c r="A47" s="32" t="s">
        <v>59</v>
      </c>
      <c r="B47" s="44" t="s">
        <v>80</v>
      </c>
      <c r="C47" s="45">
        <f>D47/D80</f>
        <v>6.6929028458222906E-2</v>
      </c>
      <c r="D47" s="48">
        <f t="shared" si="0"/>
        <v>1666.6666666666667</v>
      </c>
      <c r="E47" s="50">
        <v>20000</v>
      </c>
    </row>
    <row r="48" spans="1:5">
      <c r="A48" s="32" t="s">
        <v>60</v>
      </c>
      <c r="B48" s="44" t="s">
        <v>87</v>
      </c>
      <c r="C48" s="45">
        <f>D48/D80</f>
        <v>0.20078708537466869</v>
      </c>
      <c r="D48" s="48">
        <f t="shared" si="0"/>
        <v>5000</v>
      </c>
      <c r="E48" s="50">
        <v>60000</v>
      </c>
    </row>
    <row r="49" spans="1:5">
      <c r="A49" s="32" t="s">
        <v>61</v>
      </c>
      <c r="B49" s="44" t="s">
        <v>77</v>
      </c>
      <c r="C49" s="45">
        <f>D49/D80</f>
        <v>0</v>
      </c>
      <c r="D49" s="48">
        <f t="shared" si="0"/>
        <v>0</v>
      </c>
      <c r="E49" s="50">
        <v>0</v>
      </c>
    </row>
    <row r="50" spans="1:5">
      <c r="A50" s="32" t="s">
        <v>62</v>
      </c>
      <c r="B50" s="44" t="s">
        <v>25</v>
      </c>
      <c r="C50" s="45">
        <f>D50/D80</f>
        <v>8.3661285572778632E-2</v>
      </c>
      <c r="D50" s="48">
        <f t="shared" si="0"/>
        <v>2083.3333333333335</v>
      </c>
      <c r="E50" s="50">
        <v>25000</v>
      </c>
    </row>
    <row r="51" spans="1:5">
      <c r="A51" s="32" t="s">
        <v>63</v>
      </c>
      <c r="B51" s="71" t="s">
        <v>76</v>
      </c>
      <c r="C51" s="45">
        <f>D51/D80</f>
        <v>1.6732257114555726E-2</v>
      </c>
      <c r="D51" s="48">
        <f t="shared" si="0"/>
        <v>416.66666666666669</v>
      </c>
      <c r="E51" s="50">
        <v>5000</v>
      </c>
    </row>
    <row r="52" spans="1:5">
      <c r="A52" s="32" t="s">
        <v>64</v>
      </c>
      <c r="B52" s="44" t="s">
        <v>130</v>
      </c>
      <c r="C52" s="45">
        <f>D52/D80</f>
        <v>0.28444837094744729</v>
      </c>
      <c r="D52" s="48">
        <f>E52/12</f>
        <v>7083.333333333333</v>
      </c>
      <c r="E52" s="50">
        <v>85000</v>
      </c>
    </row>
    <row r="53" spans="1:5">
      <c r="A53" s="32" t="s">
        <v>65</v>
      </c>
      <c r="B53" s="44" t="s">
        <v>85</v>
      </c>
      <c r="C53" s="45">
        <f>D53/D80</f>
        <v>2.6771611383289158E-2</v>
      </c>
      <c r="D53" s="48">
        <f>E53/12</f>
        <v>666.66666666666663</v>
      </c>
      <c r="E53" s="50">
        <v>8000</v>
      </c>
    </row>
    <row r="54" spans="1:5" ht="13.5" thickBot="1">
      <c r="A54" s="32" t="s">
        <v>66</v>
      </c>
      <c r="B54" s="44" t="s">
        <v>121</v>
      </c>
      <c r="C54" s="45">
        <f>D54/D80</f>
        <v>0.87007736995689777</v>
      </c>
      <c r="D54" s="48">
        <f>E54/12</f>
        <v>21666.666666666668</v>
      </c>
      <c r="E54" s="50">
        <v>260000</v>
      </c>
    </row>
    <row r="55" spans="1:5">
      <c r="A55" s="28" t="s">
        <v>113</v>
      </c>
      <c r="B55" s="7" t="s">
        <v>127</v>
      </c>
      <c r="C55" s="38">
        <f>D55/D80</f>
        <v>4.6150208818568785</v>
      </c>
      <c r="D55" s="17">
        <f t="shared" si="0"/>
        <v>114923.25</v>
      </c>
      <c r="E55" s="68">
        <f>SUM(E56:E72)</f>
        <v>1379079</v>
      </c>
    </row>
    <row r="56" spans="1:5">
      <c r="A56" s="32" t="s">
        <v>143</v>
      </c>
      <c r="B56" s="44" t="s">
        <v>95</v>
      </c>
      <c r="C56" s="45">
        <f>D56/D80</f>
        <v>8.3661285572778632E-2</v>
      </c>
      <c r="D56" s="48">
        <f t="shared" si="0"/>
        <v>2083.3333333333335</v>
      </c>
      <c r="E56" s="50">
        <v>25000</v>
      </c>
    </row>
    <row r="57" spans="1:5">
      <c r="A57" s="32" t="s">
        <v>144</v>
      </c>
      <c r="B57" s="71" t="s">
        <v>91</v>
      </c>
      <c r="C57" s="45">
        <f>D57/D80</f>
        <v>0.26771611383289162</v>
      </c>
      <c r="D57" s="48">
        <f t="shared" si="0"/>
        <v>6666.666666666667</v>
      </c>
      <c r="E57" s="50">
        <v>80000</v>
      </c>
    </row>
    <row r="58" spans="1:5">
      <c r="A58" s="32" t="s">
        <v>145</v>
      </c>
      <c r="B58" s="44" t="s">
        <v>122</v>
      </c>
      <c r="C58" s="45">
        <f>D58/D80</f>
        <v>0.10039354268733434</v>
      </c>
      <c r="D58" s="48">
        <f t="shared" si="0"/>
        <v>2500</v>
      </c>
      <c r="E58" s="50">
        <v>30000</v>
      </c>
    </row>
    <row r="59" spans="1:5">
      <c r="A59" s="32" t="s">
        <v>146</v>
      </c>
      <c r="B59" s="44" t="s">
        <v>125</v>
      </c>
      <c r="C59" s="45">
        <f>D59/D80</f>
        <v>6.0236125612400611E-2</v>
      </c>
      <c r="D59" s="48">
        <f t="shared" si="0"/>
        <v>1500</v>
      </c>
      <c r="E59" s="50">
        <v>18000</v>
      </c>
    </row>
    <row r="60" spans="1:5">
      <c r="A60" s="32" t="s">
        <v>147</v>
      </c>
      <c r="B60" s="71" t="s">
        <v>123</v>
      </c>
      <c r="C60" s="45">
        <f>D60/D80</f>
        <v>0.53543222766578324</v>
      </c>
      <c r="D60" s="48">
        <f t="shared" si="0"/>
        <v>13333.333333333334</v>
      </c>
      <c r="E60" s="50">
        <v>160000</v>
      </c>
    </row>
    <row r="61" spans="1:5">
      <c r="A61" s="32" t="s">
        <v>148</v>
      </c>
      <c r="B61" s="71" t="s">
        <v>161</v>
      </c>
      <c r="C61" s="45">
        <f>D61/D80</f>
        <v>0.33464514229111453</v>
      </c>
      <c r="D61" s="48">
        <f t="shared" si="0"/>
        <v>8333.3333333333339</v>
      </c>
      <c r="E61" s="50">
        <v>100000</v>
      </c>
    </row>
    <row r="62" spans="1:5">
      <c r="A62" s="32" t="s">
        <v>149</v>
      </c>
      <c r="B62" s="44" t="s">
        <v>74</v>
      </c>
      <c r="C62" s="45">
        <f>D62/D80</f>
        <v>1.3385805691644579E-2</v>
      </c>
      <c r="D62" s="48">
        <f t="shared" si="0"/>
        <v>333.33333333333331</v>
      </c>
      <c r="E62" s="50">
        <v>4000</v>
      </c>
    </row>
    <row r="63" spans="1:5">
      <c r="A63" s="32" t="s">
        <v>150</v>
      </c>
      <c r="B63" s="71" t="s">
        <v>98</v>
      </c>
      <c r="C63" s="45">
        <f>D63/D80</f>
        <v>2.8110191952453619E-2</v>
      </c>
      <c r="D63" s="48">
        <f t="shared" si="0"/>
        <v>700</v>
      </c>
      <c r="E63" s="50">
        <v>8400</v>
      </c>
    </row>
    <row r="64" spans="1:5">
      <c r="A64" s="32" t="s">
        <v>151</v>
      </c>
      <c r="B64" s="44" t="s">
        <v>97</v>
      </c>
      <c r="C64" s="45">
        <f>D64/D80</f>
        <v>0.10708644553315663</v>
      </c>
      <c r="D64" s="48">
        <f t="shared" si="0"/>
        <v>2666.6666666666665</v>
      </c>
      <c r="E64" s="50">
        <v>32000</v>
      </c>
    </row>
    <row r="65" spans="1:5">
      <c r="A65" s="32" t="s">
        <v>152</v>
      </c>
      <c r="B65" s="44" t="s">
        <v>83</v>
      </c>
      <c r="C65" s="45">
        <f>D65/D80</f>
        <v>2.6771611383289158E-2</v>
      </c>
      <c r="D65" s="48">
        <f t="shared" si="0"/>
        <v>666.66666666666663</v>
      </c>
      <c r="E65" s="50">
        <v>8000</v>
      </c>
    </row>
    <row r="66" spans="1:5">
      <c r="A66" s="32" t="s">
        <v>153</v>
      </c>
      <c r="B66" s="51" t="s">
        <v>126</v>
      </c>
      <c r="C66" s="45">
        <f>D66/D80</f>
        <v>8.3661285572778632E-2</v>
      </c>
      <c r="D66" s="52">
        <f t="shared" si="0"/>
        <v>2083.3333333333335</v>
      </c>
      <c r="E66" s="87">
        <v>25000</v>
      </c>
    </row>
    <row r="67" spans="1:5">
      <c r="A67" s="32" t="s">
        <v>154</v>
      </c>
      <c r="B67" s="51" t="s">
        <v>86</v>
      </c>
      <c r="C67" s="45">
        <f>D67/D80</f>
        <v>0.21751934248922444</v>
      </c>
      <c r="D67" s="52">
        <f t="shared" si="0"/>
        <v>5416.666666666667</v>
      </c>
      <c r="E67" s="87">
        <v>65000</v>
      </c>
    </row>
    <row r="68" spans="1:5">
      <c r="A68" s="32" t="s">
        <v>155</v>
      </c>
      <c r="B68" s="80" t="s">
        <v>24</v>
      </c>
      <c r="C68" s="111">
        <f>D68/D80</f>
        <v>2.3425159960378018E-2</v>
      </c>
      <c r="D68" s="112">
        <f t="shared" si="0"/>
        <v>583.33333333333337</v>
      </c>
      <c r="E68" s="113">
        <v>7000</v>
      </c>
    </row>
    <row r="69" spans="1:5">
      <c r="A69" s="32" t="s">
        <v>156</v>
      </c>
      <c r="B69" s="114" t="s">
        <v>124</v>
      </c>
      <c r="C69" s="115">
        <f>D69/D80</f>
        <v>0.93700639841512057</v>
      </c>
      <c r="D69" s="116">
        <f t="shared" si="0"/>
        <v>23333.333333333332</v>
      </c>
      <c r="E69" s="152">
        <v>280000</v>
      </c>
    </row>
    <row r="70" spans="1:5">
      <c r="A70" s="32" t="s">
        <v>157</v>
      </c>
      <c r="B70" s="114" t="s">
        <v>129</v>
      </c>
      <c r="C70" s="115">
        <f>D70/D80</f>
        <v>1.6397611972264612</v>
      </c>
      <c r="D70" s="116">
        <f t="shared" ref="D70:D78" si="1">E70/12</f>
        <v>40833.333333333336</v>
      </c>
      <c r="E70" s="152">
        <v>490000</v>
      </c>
    </row>
    <row r="71" spans="1:5">
      <c r="A71" s="32" t="s">
        <v>158</v>
      </c>
      <c r="B71" s="154" t="s">
        <v>128</v>
      </c>
      <c r="C71" s="159">
        <f>D71/D80</f>
        <v>0.13613029743260247</v>
      </c>
      <c r="D71" s="155">
        <f t="shared" si="1"/>
        <v>3389.9166666666665</v>
      </c>
      <c r="E71" s="152">
        <v>40679</v>
      </c>
    </row>
    <row r="72" spans="1:5" ht="13.5" thickBot="1">
      <c r="A72" s="32" t="s">
        <v>159</v>
      </c>
      <c r="B72" s="71" t="s">
        <v>104</v>
      </c>
      <c r="C72" s="107">
        <f>D72/D80</f>
        <v>2.007870853746687E-2</v>
      </c>
      <c r="D72" s="108">
        <f t="shared" si="1"/>
        <v>500</v>
      </c>
      <c r="E72" s="156">
        <v>6000</v>
      </c>
    </row>
    <row r="73" spans="1:5" ht="13.5" thickBot="1">
      <c r="A73" s="27">
        <v>13</v>
      </c>
      <c r="B73" s="5" t="s">
        <v>92</v>
      </c>
      <c r="C73" s="41">
        <f>D73/D80</f>
        <v>0</v>
      </c>
      <c r="D73" s="16">
        <f t="shared" si="1"/>
        <v>0</v>
      </c>
      <c r="E73" s="67">
        <v>0</v>
      </c>
    </row>
    <row r="74" spans="1:5" ht="13.5" thickBot="1">
      <c r="A74" s="27">
        <v>14</v>
      </c>
      <c r="B74" s="6" t="s">
        <v>26</v>
      </c>
      <c r="C74" s="37">
        <f>D74/D80</f>
        <v>3.3464514229111453E-2</v>
      </c>
      <c r="D74" s="16">
        <f t="shared" si="1"/>
        <v>833.33333333333337</v>
      </c>
      <c r="E74" s="67">
        <v>10000</v>
      </c>
    </row>
    <row r="75" spans="1:5" ht="13.5" thickBot="1">
      <c r="A75" s="61">
        <v>15</v>
      </c>
      <c r="B75" s="62" t="s">
        <v>119</v>
      </c>
      <c r="C75" s="88">
        <f>D75/D80</f>
        <v>1.350293149144647</v>
      </c>
      <c r="D75" s="60">
        <f t="shared" si="1"/>
        <v>33625</v>
      </c>
      <c r="E75" s="63">
        <v>403500</v>
      </c>
    </row>
    <row r="76" spans="1:5" ht="13.5" thickBot="1">
      <c r="A76" s="161">
        <v>16</v>
      </c>
      <c r="B76" s="162" t="s">
        <v>120</v>
      </c>
      <c r="C76" s="163">
        <f>D76/D80</f>
        <v>8.1017588948678818E-2</v>
      </c>
      <c r="D76" s="164">
        <f t="shared" si="1"/>
        <v>2017.5</v>
      </c>
      <c r="E76" s="165">
        <v>24210</v>
      </c>
    </row>
    <row r="77" spans="1:5" ht="13.5" thickBot="1">
      <c r="A77" s="61">
        <v>17</v>
      </c>
      <c r="B77" s="62" t="s">
        <v>114</v>
      </c>
      <c r="C77" s="59">
        <f>D77/D80</f>
        <v>2.1588426632399003</v>
      </c>
      <c r="D77" s="60">
        <f t="shared" si="1"/>
        <v>53759.5</v>
      </c>
      <c r="E77" s="63">
        <v>645114</v>
      </c>
    </row>
    <row r="78" spans="1:5" ht="13.5" thickBot="1">
      <c r="A78" s="192" t="s">
        <v>27</v>
      </c>
      <c r="B78" s="193"/>
      <c r="C78" s="64">
        <f>D78/D80</f>
        <v>11.000001338580571</v>
      </c>
      <c r="D78" s="65">
        <f t="shared" si="1"/>
        <v>273922.03333333338</v>
      </c>
      <c r="E78" s="66">
        <f>E6+E7+E8+E9+E10+E13+E18+E19+E26+E32+E46+E55+E73+E74-E75+E76-E77</f>
        <v>3287064.4000000004</v>
      </c>
    </row>
    <row r="79" spans="1:5">
      <c r="A79" s="11"/>
      <c r="B79" s="11"/>
      <c r="C79" s="11"/>
      <c r="D79" s="11"/>
      <c r="E79" s="11"/>
    </row>
    <row r="80" spans="1:5">
      <c r="A80" s="133" t="s">
        <v>28</v>
      </c>
      <c r="B80" s="133"/>
      <c r="C80" s="35"/>
      <c r="D80" s="1">
        <v>24902</v>
      </c>
      <c r="E80" s="2" t="s">
        <v>29</v>
      </c>
    </row>
    <row r="81" spans="1:5">
      <c r="A81" s="11"/>
      <c r="B81" s="11"/>
      <c r="C81" s="11"/>
      <c r="D81" s="11"/>
      <c r="E81" s="11"/>
    </row>
    <row r="82" spans="1:5">
      <c r="A82" s="196" t="s">
        <v>115</v>
      </c>
      <c r="B82" s="196"/>
      <c r="C82" s="34"/>
    </row>
    <row r="83" spans="1:5">
      <c r="A83" s="196" t="s">
        <v>30</v>
      </c>
      <c r="B83" s="196"/>
      <c r="C83" s="34"/>
      <c r="D83" s="36">
        <f>D78/D80</f>
        <v>11.000001338580571</v>
      </c>
      <c r="E83" s="2" t="s">
        <v>31</v>
      </c>
    </row>
  </sheetData>
  <mergeCells count="7">
    <mergeCell ref="A83:B83"/>
    <mergeCell ref="C1:E1"/>
    <mergeCell ref="A2:E2"/>
    <mergeCell ref="A3:E3"/>
    <mergeCell ref="A4:E4"/>
    <mergeCell ref="A78:B78"/>
    <mergeCell ref="A82:B82"/>
  </mergeCells>
  <pageMargins left="0.78740157480314965" right="0" top="0.19685039370078741" bottom="0.19685039370078741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Смета</vt:lpstr>
      <vt:lpstr>Лист1</vt:lpstr>
      <vt:lpstr>Смета!Область_печати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cp:lastPrinted>2014-02-01T06:23:17Z</cp:lastPrinted>
  <dcterms:created xsi:type="dcterms:W3CDTF">2010-12-02T20:37:32Z</dcterms:created>
  <dcterms:modified xsi:type="dcterms:W3CDTF">2014-02-01T06:23:22Z</dcterms:modified>
</cp:coreProperties>
</file>