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Смета" sheetId="1" r:id="rId1"/>
    <sheet name="Лист1" sheetId="7" r:id="rId2"/>
  </sheets>
  <definedNames>
    <definedName name="_xlnm.Print_Area" localSheetId="0">Смета!$A$1:$U$83</definedName>
  </definedNames>
  <calcPr calcId="125725" refMode="R1C1"/>
</workbook>
</file>

<file path=xl/calcChain.xml><?xml version="1.0" encoding="utf-8"?>
<calcChain xmlns="http://schemas.openxmlformats.org/spreadsheetml/2006/main">
  <c r="K17" i="1"/>
  <c r="Q42"/>
  <c r="R50" l="1"/>
  <c r="R7"/>
  <c r="R62"/>
  <c r="C76" l="1"/>
  <c r="S7"/>
  <c r="R5"/>
  <c r="Q5"/>
  <c r="Q7"/>
  <c r="D7"/>
  <c r="T7"/>
  <c r="R32"/>
  <c r="R6"/>
  <c r="R53"/>
  <c r="R33"/>
  <c r="R49"/>
  <c r="R75"/>
  <c r="R8"/>
  <c r="P27" l="1"/>
  <c r="P28"/>
  <c r="P19"/>
  <c r="R27"/>
  <c r="R19"/>
  <c r="R26"/>
  <c r="H27"/>
  <c r="O26"/>
  <c r="O19"/>
  <c r="O30"/>
  <c r="Q19"/>
  <c r="Q11"/>
  <c r="P11"/>
  <c r="N19"/>
  <c r="N11"/>
  <c r="L11"/>
  <c r="I11"/>
  <c r="H19"/>
  <c r="H11"/>
  <c r="G11"/>
  <c r="Q49"/>
  <c r="P49"/>
  <c r="O49"/>
  <c r="N49"/>
  <c r="M49"/>
  <c r="L49"/>
  <c r="K49"/>
  <c r="J49"/>
  <c r="I49"/>
  <c r="H49"/>
  <c r="K53"/>
  <c r="J53"/>
  <c r="I53"/>
  <c r="H53"/>
  <c r="Q75" l="1"/>
  <c r="P75"/>
  <c r="O75"/>
  <c r="N75"/>
  <c r="M75"/>
  <c r="L75"/>
  <c r="K75"/>
  <c r="J75"/>
  <c r="I75"/>
  <c r="H75"/>
  <c r="G75"/>
  <c r="N8"/>
  <c r="O8"/>
  <c r="P8"/>
  <c r="Q8"/>
  <c r="O5"/>
  <c r="P5"/>
  <c r="Q72"/>
  <c r="P10"/>
  <c r="L10"/>
  <c r="J10"/>
  <c r="P6"/>
  <c r="P7"/>
  <c r="O7"/>
  <c r="N7"/>
  <c r="N5"/>
  <c r="M7"/>
  <c r="M5"/>
  <c r="L7"/>
  <c r="L5"/>
  <c r="K7"/>
  <c r="J7"/>
  <c r="J5"/>
  <c r="K5"/>
  <c r="I5"/>
  <c r="H7"/>
  <c r="I7"/>
  <c r="H5"/>
  <c r="G7"/>
  <c r="G5"/>
  <c r="L70"/>
  <c r="L71"/>
  <c r="M71"/>
  <c r="I41" l="1"/>
  <c r="T41"/>
  <c r="U41" s="1"/>
  <c r="T8"/>
  <c r="U8" s="1"/>
  <c r="O48"/>
  <c r="O67"/>
  <c r="N53"/>
  <c r="L41"/>
  <c r="J41"/>
  <c r="I31"/>
  <c r="I10"/>
  <c r="H10"/>
  <c r="M8"/>
  <c r="L8"/>
  <c r="K8"/>
  <c r="J8"/>
  <c r="I8"/>
  <c r="H8"/>
  <c r="T71"/>
  <c r="U71" s="1"/>
  <c r="M53"/>
  <c r="L34"/>
  <c r="L48"/>
  <c r="H20"/>
  <c r="K34"/>
  <c r="K74"/>
  <c r="K63"/>
  <c r="J34"/>
  <c r="J19"/>
  <c r="I47"/>
  <c r="I9"/>
  <c r="G19"/>
  <c r="G8"/>
  <c r="T44"/>
  <c r="U44"/>
  <c r="T45"/>
  <c r="U45"/>
  <c r="T70"/>
  <c r="U70" s="1"/>
  <c r="T72"/>
  <c r="U72" s="1"/>
  <c r="T69"/>
  <c r="U69" s="1"/>
  <c r="D70"/>
  <c r="C70"/>
  <c r="D71"/>
  <c r="C71"/>
  <c r="D72"/>
  <c r="C72"/>
  <c r="E55"/>
  <c r="E47"/>
  <c r="E31"/>
  <c r="D45"/>
  <c r="C45"/>
  <c r="D44"/>
  <c r="C44"/>
  <c r="T75"/>
  <c r="T24"/>
  <c r="U24" s="1"/>
  <c r="F21"/>
  <c r="T77"/>
  <c r="D32"/>
  <c r="T22"/>
  <c r="U22"/>
  <c r="T23"/>
  <c r="U23"/>
  <c r="R55"/>
  <c r="P47"/>
  <c r="O21"/>
  <c r="O18"/>
  <c r="O78" s="1"/>
  <c r="P21"/>
  <c r="P18"/>
  <c r="N21"/>
  <c r="N18"/>
  <c r="M21"/>
  <c r="M18"/>
  <c r="M55"/>
  <c r="C7"/>
  <c r="P31"/>
  <c r="O9"/>
  <c r="T65"/>
  <c r="U65"/>
  <c r="T73"/>
  <c r="U73" s="1"/>
  <c r="T52"/>
  <c r="U52"/>
  <c r="L47"/>
  <c r="L78" s="1"/>
  <c r="T20"/>
  <c r="U20" s="1"/>
  <c r="K47"/>
  <c r="I21"/>
  <c r="H31"/>
  <c r="G9"/>
  <c r="D77" i="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E55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E46"/>
  <c r="D46"/>
  <c r="C46"/>
  <c r="D45"/>
  <c r="C45"/>
  <c r="D44"/>
  <c r="C44"/>
  <c r="D43"/>
  <c r="C43"/>
  <c r="D42"/>
  <c r="C42"/>
  <c r="D41"/>
  <c r="C41"/>
  <c r="D40"/>
  <c r="C40"/>
  <c r="D39"/>
  <c r="D38"/>
  <c r="D37"/>
  <c r="C37"/>
  <c r="D36"/>
  <c r="C36"/>
  <c r="D35"/>
  <c r="C35"/>
  <c r="D34"/>
  <c r="C34"/>
  <c r="D33"/>
  <c r="C33"/>
  <c r="E32"/>
  <c r="D32"/>
  <c r="C32"/>
  <c r="D31"/>
  <c r="C31"/>
  <c r="D30"/>
  <c r="C30"/>
  <c r="D29"/>
  <c r="C29"/>
  <c r="D28"/>
  <c r="C28"/>
  <c r="D27"/>
  <c r="C27"/>
  <c r="E26"/>
  <c r="D26"/>
  <c r="C26"/>
  <c r="D25"/>
  <c r="D24"/>
  <c r="D23"/>
  <c r="E22"/>
  <c r="D22"/>
  <c r="C22"/>
  <c r="D21"/>
  <c r="C21"/>
  <c r="D20"/>
  <c r="C20"/>
  <c r="D18"/>
  <c r="C18"/>
  <c r="D17"/>
  <c r="D16"/>
  <c r="E15"/>
  <c r="D15"/>
  <c r="C15"/>
  <c r="D14"/>
  <c r="C14"/>
  <c r="D12"/>
  <c r="C12"/>
  <c r="D11"/>
  <c r="C11"/>
  <c r="E10"/>
  <c r="D10"/>
  <c r="C10"/>
  <c r="D9"/>
  <c r="C9"/>
  <c r="D8"/>
  <c r="C8"/>
  <c r="D7"/>
  <c r="C7"/>
  <c r="D6"/>
  <c r="C6"/>
  <c r="F47" i="1"/>
  <c r="F31"/>
  <c r="F9"/>
  <c r="T76"/>
  <c r="U76" s="1"/>
  <c r="D76"/>
  <c r="D69"/>
  <c r="C69"/>
  <c r="D6"/>
  <c r="C6"/>
  <c r="S21"/>
  <c r="S18"/>
  <c r="E14"/>
  <c r="D14"/>
  <c r="C14"/>
  <c r="T54"/>
  <c r="U54" s="1"/>
  <c r="T32"/>
  <c r="U32" s="1"/>
  <c r="D54"/>
  <c r="C54"/>
  <c r="T37"/>
  <c r="U37" s="1"/>
  <c r="T38"/>
  <c r="U38"/>
  <c r="D38"/>
  <c r="C38"/>
  <c r="D37"/>
  <c r="C37"/>
  <c r="T26"/>
  <c r="U26" s="1"/>
  <c r="T28"/>
  <c r="U28"/>
  <c r="T29"/>
  <c r="U29"/>
  <c r="T30"/>
  <c r="U30" s="1"/>
  <c r="T34"/>
  <c r="U34" s="1"/>
  <c r="T36"/>
  <c r="U36" s="1"/>
  <c r="T39"/>
  <c r="U39"/>
  <c r="T40"/>
  <c r="U40"/>
  <c r="T46"/>
  <c r="U46"/>
  <c r="T50"/>
  <c r="U50" s="1"/>
  <c r="T51"/>
  <c r="U51"/>
  <c r="T58"/>
  <c r="U58" s="1"/>
  <c r="T60"/>
  <c r="U60"/>
  <c r="T61"/>
  <c r="U61"/>
  <c r="T62"/>
  <c r="U62" s="1"/>
  <c r="T63"/>
  <c r="U63" s="1"/>
  <c r="T64"/>
  <c r="U64"/>
  <c r="T66"/>
  <c r="U66"/>
  <c r="T68"/>
  <c r="U68"/>
  <c r="T17"/>
  <c r="U17" s="1"/>
  <c r="R9"/>
  <c r="R25"/>
  <c r="Q31"/>
  <c r="Q9"/>
  <c r="Q47"/>
  <c r="L21"/>
  <c r="L18"/>
  <c r="M47"/>
  <c r="L31"/>
  <c r="T43"/>
  <c r="U43"/>
  <c r="O25"/>
  <c r="P55"/>
  <c r="Q25"/>
  <c r="Q55"/>
  <c r="R31"/>
  <c r="O31"/>
  <c r="T56"/>
  <c r="U56" s="1"/>
  <c r="T67"/>
  <c r="U67"/>
  <c r="H47"/>
  <c r="J31"/>
  <c r="H9"/>
  <c r="T16"/>
  <c r="U16" s="1"/>
  <c r="T15"/>
  <c r="U15"/>
  <c r="T13"/>
  <c r="U13" s="1"/>
  <c r="S47"/>
  <c r="G47"/>
  <c r="S9"/>
  <c r="J14"/>
  <c r="J12"/>
  <c r="K14"/>
  <c r="K12"/>
  <c r="L14"/>
  <c r="L12"/>
  <c r="M14"/>
  <c r="M12"/>
  <c r="N14"/>
  <c r="N12"/>
  <c r="O14"/>
  <c r="O12"/>
  <c r="P14"/>
  <c r="P12"/>
  <c r="Q14"/>
  <c r="Q12"/>
  <c r="R14"/>
  <c r="R12"/>
  <c r="S14"/>
  <c r="S12"/>
  <c r="G14"/>
  <c r="G12"/>
  <c r="J21"/>
  <c r="K21"/>
  <c r="Q21"/>
  <c r="Q18" s="1"/>
  <c r="R21"/>
  <c r="R18"/>
  <c r="G21"/>
  <c r="G18"/>
  <c r="J25"/>
  <c r="K25"/>
  <c r="M25"/>
  <c r="P25"/>
  <c r="S25"/>
  <c r="G25"/>
  <c r="S31"/>
  <c r="G31"/>
  <c r="D31"/>
  <c r="C31"/>
  <c r="D55"/>
  <c r="C55"/>
  <c r="S55"/>
  <c r="S78" s="1"/>
  <c r="I55"/>
  <c r="H55"/>
  <c r="G55"/>
  <c r="F55"/>
  <c r="D73"/>
  <c r="C73"/>
  <c r="I25"/>
  <c r="D53"/>
  <c r="C53"/>
  <c r="H14"/>
  <c r="H12"/>
  <c r="F14"/>
  <c r="F12"/>
  <c r="F25"/>
  <c r="D67"/>
  <c r="C67"/>
  <c r="E9"/>
  <c r="E21"/>
  <c r="D21"/>
  <c r="C21"/>
  <c r="E25"/>
  <c r="D43"/>
  <c r="C43"/>
  <c r="D75"/>
  <c r="C75"/>
  <c r="D20"/>
  <c r="C20"/>
  <c r="D52"/>
  <c r="C52"/>
  <c r="D51"/>
  <c r="C51"/>
  <c r="D68"/>
  <c r="C68"/>
  <c r="D66"/>
  <c r="C66"/>
  <c r="D42"/>
  <c r="C42"/>
  <c r="D77"/>
  <c r="C77"/>
  <c r="D74"/>
  <c r="C74"/>
  <c r="D24"/>
  <c r="C24"/>
  <c r="D23"/>
  <c r="C23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0"/>
  <c r="C50"/>
  <c r="D48"/>
  <c r="C48"/>
  <c r="D46"/>
  <c r="C46"/>
  <c r="D41"/>
  <c r="C41"/>
  <c r="D40"/>
  <c r="C40"/>
  <c r="D39"/>
  <c r="C39"/>
  <c r="D36"/>
  <c r="C36"/>
  <c r="D35"/>
  <c r="C35"/>
  <c r="D34"/>
  <c r="C34"/>
  <c r="D33"/>
  <c r="C33"/>
  <c r="C32"/>
  <c r="D30"/>
  <c r="C30"/>
  <c r="D29"/>
  <c r="C29"/>
  <c r="D28"/>
  <c r="C28"/>
  <c r="D27"/>
  <c r="C27"/>
  <c r="D26"/>
  <c r="C26"/>
  <c r="D5"/>
  <c r="C5"/>
  <c r="D8"/>
  <c r="C8"/>
  <c r="D17"/>
  <c r="C17"/>
  <c r="D19"/>
  <c r="C19"/>
  <c r="D13"/>
  <c r="C13"/>
  <c r="D11"/>
  <c r="C11"/>
  <c r="D10"/>
  <c r="C10"/>
  <c r="D22"/>
  <c r="C22"/>
  <c r="D15"/>
  <c r="C15"/>
  <c r="D16"/>
  <c r="C16"/>
  <c r="D49"/>
  <c r="C49"/>
  <c r="I14"/>
  <c r="T14" s="1"/>
  <c r="U14" s="1"/>
  <c r="N25"/>
  <c r="J55"/>
  <c r="L25"/>
  <c r="M9"/>
  <c r="H25"/>
  <c r="M31"/>
  <c r="O55"/>
  <c r="R47"/>
  <c r="N31"/>
  <c r="T27"/>
  <c r="U27" s="1"/>
  <c r="T33"/>
  <c r="U33" s="1"/>
  <c r="K55"/>
  <c r="T48"/>
  <c r="U48"/>
  <c r="E13" i="7"/>
  <c r="D13"/>
  <c r="C13"/>
  <c r="E19"/>
  <c r="D19"/>
  <c r="C19"/>
  <c r="E12" i="1"/>
  <c r="D12"/>
  <c r="C12"/>
  <c r="E78" i="7"/>
  <c r="D78"/>
  <c r="T57" i="1"/>
  <c r="U57"/>
  <c r="T53"/>
  <c r="U53" s="1"/>
  <c r="P9"/>
  <c r="N55"/>
  <c r="T49"/>
  <c r="U49" s="1"/>
  <c r="K18"/>
  <c r="T35"/>
  <c r="U35" s="1"/>
  <c r="T19"/>
  <c r="U19" s="1"/>
  <c r="J47"/>
  <c r="N47"/>
  <c r="N9"/>
  <c r="N78" s="1"/>
  <c r="T6"/>
  <c r="U6" s="1"/>
  <c r="O47"/>
  <c r="I18"/>
  <c r="T11"/>
  <c r="U11" s="1"/>
  <c r="I12"/>
  <c r="T12" s="1"/>
  <c r="U12" s="1"/>
  <c r="E18"/>
  <c r="D18"/>
  <c r="C18"/>
  <c r="H21"/>
  <c r="H18"/>
  <c r="J18"/>
  <c r="T59"/>
  <c r="U59" s="1"/>
  <c r="J9"/>
  <c r="T42"/>
  <c r="U42" s="1"/>
  <c r="T74"/>
  <c r="U74" s="1"/>
  <c r="K9"/>
  <c r="K78" s="1"/>
  <c r="L9"/>
  <c r="U7"/>
  <c r="D25"/>
  <c r="C25"/>
  <c r="F18"/>
  <c r="L55"/>
  <c r="T10"/>
  <c r="U10" s="1"/>
  <c r="K31"/>
  <c r="D47"/>
  <c r="C47"/>
  <c r="D9"/>
  <c r="C9"/>
  <c r="D78"/>
  <c r="C78" s="1"/>
  <c r="F78"/>
  <c r="C78" i="7"/>
  <c r="D83"/>
  <c r="C39"/>
  <c r="C38"/>
  <c r="T5" i="1"/>
  <c r="U5" s="1"/>
  <c r="D83" l="1"/>
  <c r="T18"/>
  <c r="U18" s="1"/>
  <c r="T21"/>
  <c r="U21" s="1"/>
  <c r="U75"/>
  <c r="R78"/>
  <c r="T25"/>
  <c r="U25" s="1"/>
  <c r="T9"/>
  <c r="U9" s="1"/>
  <c r="T47"/>
  <c r="U47" s="1"/>
  <c r="I78"/>
  <c r="G78"/>
  <c r="P78"/>
  <c r="J78"/>
  <c r="M78"/>
  <c r="H78"/>
  <c r="T55"/>
  <c r="U55" s="1"/>
  <c r="Q78"/>
  <c r="T31"/>
  <c r="U31" s="1"/>
  <c r="T78" l="1"/>
  <c r="U78" s="1"/>
</calcChain>
</file>

<file path=xl/comments1.xml><?xml version="1.0" encoding="utf-8"?>
<comments xmlns="http://schemas.openxmlformats.org/spreadsheetml/2006/main">
  <authors>
    <author>Владелец</author>
    <author>User</author>
    <author>Максим</author>
  </authors>
  <commentList>
    <comment ref="P24" authorId="0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Ключи Тензор
</t>
        </r>
      </text>
    </comment>
    <comment ref="Q24" authorId="0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ПК
</t>
        </r>
      </text>
    </comment>
    <comment ref="I36" authorId="1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ЗА 4 КВ 2014
</t>
        </r>
      </text>
    </comment>
    <comment ref="M50" authorId="2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Холодильник</t>
        </r>
      </text>
    </comment>
    <comment ref="R50" authorId="2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Кресло, стойка</t>
        </r>
      </text>
    </comment>
    <comment ref="K74" authorId="1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Металлические ограждения
Ремонт кондиционеров в офисе.
</t>
        </r>
      </text>
    </comment>
    <comment ref="Q74" authorId="2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Таблички на площадку</t>
        </r>
      </text>
    </comment>
    <comment ref="S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ООО КАДР трубы 33685
</t>
        </r>
      </text>
    </comment>
  </commentList>
</comments>
</file>

<file path=xl/sharedStrings.xml><?xml version="1.0" encoding="utf-8"?>
<sst xmlns="http://schemas.openxmlformats.org/spreadsheetml/2006/main" count="315" uniqueCount="192">
  <si>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</si>
  <si>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</si>
  <si>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</si>
  <si>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</si>
  <si>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</si>
  <si>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</si>
  <si>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</si>
  <si>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</si>
  <si>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</si>
  <si>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</si>
  <si>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</si>
  <si>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</si>
  <si>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</si>
  <si>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</si>
  <si>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</si>
  <si>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</si>
  <si>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</si>
  <si>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</si>
  <si>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</si>
  <si>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</si>
  <si>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</si>
  <si>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</si>
  <si>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</si>
  <si>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</si>
  <si>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</si>
  <si>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</si>
  <si>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</si>
  <si>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</si>
  <si>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</si>
  <si>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</si>
  <si>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</si>
  <si>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</si>
  <si>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</si>
  <si>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</si>
  <si>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</si>
  <si>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</si>
  <si>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</si>
  <si>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</si>
  <si>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</si>
  <si>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</si>
  <si>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</si>
  <si>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</si>
  <si>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</si>
  <si>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</si>
  <si>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</si>
  <si>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</si>
  <si>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</si>
  <si>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</si>
  <si>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</si>
  <si>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</si>
  <si>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</si>
  <si>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</si>
  <si>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</si>
  <si>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</si>
  <si>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</si>
  <si>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</si>
  <si>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</si>
  <si>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</si>
  <si>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</si>
  <si>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</si>
  <si>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</si>
  <si>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</si>
  <si>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</si>
  <si>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</si>
  <si>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</si>
  <si>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</si>
  <si>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</si>
  <si>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</si>
  <si>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</si>
  <si>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</si>
  <si>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</si>
  <si>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</si>
  <si>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</si>
  <si>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</si>
  <si>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</si>
  <si>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</si>
  <si>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</si>
  <si>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</si>
  <si>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</si>
  <si>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</si>
  <si>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</si>
  <si>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</si>
  <si>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</si>
  <si>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</si>
  <si>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</si>
  <si>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</si>
  <si>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</si>
  <si>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</si>
  <si>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</si>
  <si>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</si>
  <si>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</si>
  <si>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</si>
  <si>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</si>
  <si>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</si>
  <si>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</si>
  <si>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</si>
  <si>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</si>
  <si>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</si>
  <si>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</si>
  <si>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</si>
  <si>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</si>
  <si>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</si>
  <si>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</si>
  <si>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</si>
  <si>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</si>
  <si>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</si>
  <si>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</si>
  <si>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</si>
  <si>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</si>
  <si>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</si>
  <si>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</si>
  <si>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</si>
  <si>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</si>
  <si>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</si>
  <si>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</si>
  <si>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</si>
  <si>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</si>
  <si>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</si>
  <si>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</si>
  <si>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</si>
  <si>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</si>
  <si>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</si>
  <si>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</si>
  <si>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</si>
  <si>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</si>
  <si>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</si>
  <si>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</si>
  <si>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</si>
  <si>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</si>
  <si>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</si>
  <si>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</si>
  <si>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</si>
  <si>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</si>
  <si>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</si>
  <si>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</si>
  <si>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</si>
  <si>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</si>
  <si>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</si>
  <si>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</si>
  <si>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</si>
  <si>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</si>
  <si>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</si>
  <si>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</si>
  <si>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</si>
  <si>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</si>
  <si>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</si>
  <si>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</si>
  <si>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</si>
  <si>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</si>
  <si>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</si>
  <si>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</si>
  <si>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</si>
  <si>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</si>
  <si>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</si>
  <si>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</si>
  <si>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</si>
  <si>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</si>
  <si>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</si>
  <si>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</si>
  <si>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</si>
  <si>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</si>
  <si>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</si>
  <si>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</si>
  <si>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дезинсекция и дератизация подвальных помещений</t>
  </si>
  <si>
    <t>обслуживание узла учета тепловой энергии и воды, поверка, ремонт</t>
  </si>
  <si>
    <t>обслуживание общедомового газового оборудования</t>
  </si>
  <si>
    <t>опрессовка системы отопления и промывка теплообменников ГВС</t>
  </si>
  <si>
    <t>заделка межпанельных швов, окрашивание фасада</t>
  </si>
  <si>
    <t>сантехническое оборудование</t>
  </si>
  <si>
    <t>очистка внутридворовых проездов от снега спецтехникой</t>
  </si>
  <si>
    <t>в январе 2015 за декабрь 2014г.</t>
  </si>
  <si>
    <t>техническому содержанию и ремонту общего имущества многоквартирного дома на 2015 год</t>
  </si>
  <si>
    <t>На основании сметы расходов на 2015 г. Правление ТСЖ предлагает утвердить</t>
  </si>
  <si>
    <t>откачка нечистот и чистка колодцев водоотведения</t>
  </si>
  <si>
    <t>модернизация горизонтальных участков трубопроводов отопления и ГВС в подвалах</t>
  </si>
  <si>
    <t>Сумма расходов по месяцам 2015 года, руб.</t>
  </si>
  <si>
    <t>в январе 2016 за декабрь 2015г.</t>
  </si>
  <si>
    <t>обслуживание автоматики и циркуляционных насосов ИТП</t>
  </si>
  <si>
    <t>10.14</t>
  </si>
  <si>
    <t>10.15</t>
  </si>
  <si>
    <t>электротехнические материалы</t>
  </si>
  <si>
    <t>сантехнические работы</t>
  </si>
  <si>
    <t>электромонтажные работы</t>
  </si>
  <si>
    <t>установка новых дверных блоков во входных тамбурах 10 подъездов с откосами</t>
  </si>
  <si>
    <t>усиление ограждения спортивной площадки, сети и др.</t>
  </si>
  <si>
    <t>12.18</t>
  </si>
  <si>
    <t>установка травмобезопасного покрытия для нового детского игрового комплекса</t>
  </si>
  <si>
    <t>установка нового детского игрового комплекса во дворе 6-12 подъездов</t>
  </si>
  <si>
    <t>1С обновления (подписка)</t>
  </si>
  <si>
    <t>Остаток средств по статье "Содержание и ремонт жилья" за 2014 год</t>
  </si>
  <si>
    <t>Обязательное обучение обслуживающего персонала</t>
  </si>
  <si>
    <t>строительные и отделочные материалы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</si>
</sst>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3" fillId="0" borderId="18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0" fontId="5" fillId="5" borderId="28" xfId="0" applyFont="1" applyFill="1" applyBorder="1"/>
    <xf numFmtId="0" fontId="5" fillId="5" borderId="29" xfId="0" applyFont="1" applyFill="1" applyBorder="1"/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5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6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40" xfId="0" applyNumberFormat="1" applyFont="1" applyFill="1" applyBorder="1" applyAlignment="1"/>
    <xf numFmtId="0" fontId="7" fillId="0" borderId="34" xfId="0" applyNumberFormat="1" applyFont="1" applyFill="1" applyBorder="1" applyAlignment="1"/>
    <xf numFmtId="0" fontId="1" fillId="0" borderId="40" xfId="0" applyFont="1" applyFill="1" applyBorder="1" applyAlignment="1"/>
    <xf numFmtId="0" fontId="1" fillId="0" borderId="40" xfId="0" applyFont="1" applyFill="1" applyBorder="1" applyAlignment="1">
      <alignment vertical="center"/>
    </xf>
    <xf numFmtId="0" fontId="7" fillId="0" borderId="34" xfId="0" applyFont="1" applyFill="1" applyBorder="1" applyAlignment="1"/>
    <xf numFmtId="0" fontId="3" fillId="0" borderId="31" xfId="0" applyFont="1" applyBorder="1" applyAlignment="1">
      <alignment horizontal="left"/>
    </xf>
    <xf numFmtId="2" fontId="3" fillId="0" borderId="4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1" fontId="5" fillId="5" borderId="16" xfId="0" applyNumberFormat="1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40" xfId="0" applyFont="1" applyFill="1" applyBorder="1"/>
    <xf numFmtId="16" fontId="5" fillId="3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/>
    <xf numFmtId="0" fontId="7" fillId="0" borderId="47" xfId="0" applyFont="1" applyFill="1" applyBorder="1" applyAlignment="1"/>
    <xf numFmtId="0" fontId="5" fillId="5" borderId="48" xfId="0" applyFont="1" applyFill="1" applyBorder="1"/>
    <xf numFmtId="16" fontId="5" fillId="3" borderId="49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0" fontId="7" fillId="0" borderId="34" xfId="0" applyFont="1" applyFill="1" applyBorder="1"/>
    <xf numFmtId="0" fontId="7" fillId="0" borderId="50" xfId="0" applyFont="1" applyFill="1" applyBorder="1"/>
    <xf numFmtId="0" fontId="3" fillId="0" borderId="34" xfId="0" applyNumberFormat="1" applyFont="1" applyFill="1" applyBorder="1" applyAlignment="1"/>
    <xf numFmtId="0" fontId="3" fillId="0" borderId="51" xfId="0" applyNumberFormat="1" applyFont="1" applyFill="1" applyBorder="1" applyAlignment="1"/>
    <xf numFmtId="0" fontId="3" fillId="0" borderId="34" xfId="0" applyFont="1" applyFill="1" applyBorder="1" applyAlignment="1"/>
    <xf numFmtId="0" fontId="7" fillId="0" borderId="50" xfId="0" applyFont="1" applyFill="1" applyBorder="1" applyAlignment="1"/>
    <xf numFmtId="0" fontId="5" fillId="0" borderId="45" xfId="0" applyFont="1" applyFill="1" applyBorder="1"/>
    <xf numFmtId="0" fontId="7" fillId="0" borderId="52" xfId="0" applyFont="1" applyFill="1" applyBorder="1" applyAlignment="1"/>
    <xf numFmtId="2" fontId="7" fillId="0" borderId="0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0" fontId="7" fillId="0" borderId="48" xfId="0" applyFont="1" applyFill="1" applyBorder="1" applyAlignment="1"/>
    <xf numFmtId="0" fontId="7" fillId="0" borderId="29" xfId="0" applyFont="1" applyFill="1" applyBorder="1" applyAlignment="1"/>
    <xf numFmtId="2" fontId="7" fillId="0" borderId="5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2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3" fillId="0" borderId="33" xfId="0" applyFont="1" applyBorder="1"/>
    <xf numFmtId="0" fontId="1" fillId="0" borderId="61" xfId="0" applyFont="1" applyFill="1" applyBorder="1" applyAlignment="1"/>
    <xf numFmtId="0" fontId="1" fillId="0" borderId="61" xfId="0" applyFont="1" applyFill="1" applyBorder="1" applyAlignment="1">
      <alignment vertical="center"/>
    </xf>
    <xf numFmtId="0" fontId="7" fillId="0" borderId="58" xfId="0" applyFont="1" applyFill="1" applyBorder="1" applyAlignment="1"/>
    <xf numFmtId="0" fontId="1" fillId="0" borderId="62" xfId="0" applyFont="1" applyFill="1" applyBorder="1" applyAlignment="1"/>
    <xf numFmtId="1" fontId="5" fillId="0" borderId="63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9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8" xfId="0" applyFont="1" applyFill="1" applyBorder="1"/>
    <xf numFmtId="0" fontId="7" fillId="0" borderId="64" xfId="0" applyFont="1" applyFill="1" applyBorder="1"/>
    <xf numFmtId="0" fontId="7" fillId="0" borderId="58" xfId="0" applyNumberFormat="1" applyFont="1" applyFill="1" applyBorder="1" applyAlignment="1"/>
    <xf numFmtId="0" fontId="3" fillId="0" borderId="58" xfId="0" applyNumberFormat="1" applyFont="1" applyFill="1" applyBorder="1" applyAlignment="1"/>
    <xf numFmtId="0" fontId="3" fillId="0" borderId="65" xfId="0" applyNumberFormat="1" applyFont="1" applyFill="1" applyBorder="1" applyAlignment="1"/>
    <xf numFmtId="0" fontId="7" fillId="0" borderId="0" xfId="0" applyFont="1" applyFill="1"/>
    <xf numFmtId="0" fontId="3" fillId="0" borderId="58" xfId="0" applyFont="1" applyFill="1" applyBorder="1" applyAlignment="1"/>
    <xf numFmtId="0" fontId="7" fillId="0" borderId="64" xfId="0" applyFont="1" applyFill="1" applyBorder="1" applyAlignment="1"/>
    <xf numFmtId="0" fontId="7" fillId="0" borderId="66" xfId="0" applyFont="1" applyFill="1" applyBorder="1" applyAlignment="1"/>
    <xf numFmtId="0" fontId="7" fillId="0" borderId="0" xfId="0" applyFont="1" applyFill="1" applyBorder="1" applyAlignment="1"/>
    <xf numFmtId="0" fontId="5" fillId="0" borderId="67" xfId="0" applyFont="1" applyFill="1" applyBorder="1"/>
    <xf numFmtId="0" fontId="5" fillId="0" borderId="35" xfId="0" applyFont="1" applyFill="1" applyBorder="1"/>
    <xf numFmtId="1" fontId="5" fillId="0" borderId="13" xfId="0" applyNumberFormat="1" applyFont="1" applyBorder="1"/>
    <xf numFmtId="0" fontId="5" fillId="0" borderId="68" xfId="0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9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70" xfId="0" applyNumberFormat="1" applyFont="1" applyBorder="1" applyAlignment="1">
      <alignment horizontal="center" vertical="center"/>
    </xf>
    <xf numFmtId="0" fontId="7" fillId="0" borderId="69" xfId="0" applyFont="1" applyFill="1" applyBorder="1" applyAlignment="1"/>
    <xf numFmtId="2" fontId="7" fillId="0" borderId="34" xfId="0" applyNumberFormat="1" applyFont="1" applyBorder="1" applyAlignment="1">
      <alignment horizontal="center"/>
    </xf>
    <xf numFmtId="2" fontId="7" fillId="0" borderId="71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0" fontId="5" fillId="0" borderId="72" xfId="0" applyFont="1" applyFill="1" applyBorder="1"/>
    <xf numFmtId="0" fontId="5" fillId="0" borderId="73" xfId="0" applyFont="1" applyFill="1" applyBorder="1"/>
    <xf numFmtId="0" fontId="1" fillId="0" borderId="73" xfId="0" applyNumberFormat="1" applyFont="1" applyFill="1" applyBorder="1" applyAlignment="1"/>
    <xf numFmtId="0" fontId="7" fillId="0" borderId="66" xfId="0" applyNumberFormat="1" applyFont="1" applyFill="1" applyBorder="1" applyAlignment="1"/>
    <xf numFmtId="0" fontId="3" fillId="0" borderId="66" xfId="0" applyNumberFormat="1" applyFont="1" applyFill="1" applyBorder="1" applyAlignment="1"/>
    <xf numFmtId="0" fontId="3" fillId="0" borderId="74" xfId="0" applyNumberFormat="1" applyFont="1" applyFill="1" applyBorder="1" applyAlignment="1"/>
    <xf numFmtId="0" fontId="1" fillId="0" borderId="73" xfId="0" applyFont="1" applyFill="1" applyBorder="1" applyAlignment="1"/>
    <xf numFmtId="0" fontId="3" fillId="0" borderId="66" xfId="0" applyFont="1" applyFill="1" applyBorder="1" applyAlignment="1"/>
    <xf numFmtId="0" fontId="7" fillId="0" borderId="75" xfId="0" applyFont="1" applyFill="1" applyBorder="1" applyAlignment="1"/>
    <xf numFmtId="0" fontId="1" fillId="0" borderId="73" xfId="0" applyFont="1" applyFill="1" applyBorder="1" applyAlignment="1">
      <alignment vertical="center"/>
    </xf>
    <xf numFmtId="0" fontId="8" fillId="0" borderId="24" xfId="0" applyFont="1" applyFill="1" applyBorder="1"/>
    <xf numFmtId="0" fontId="5" fillId="0" borderId="76" xfId="0" applyFont="1" applyFill="1" applyBorder="1"/>
    <xf numFmtId="0" fontId="5" fillId="0" borderId="77" xfId="0" applyFont="1" applyFill="1" applyBorder="1"/>
    <xf numFmtId="0" fontId="5" fillId="0" borderId="0" xfId="0" applyFont="1" applyFill="1" applyBorder="1"/>
    <xf numFmtId="0" fontId="5" fillId="5" borderId="49" xfId="0" applyFont="1" applyFill="1" applyBorder="1"/>
    <xf numFmtId="0" fontId="5" fillId="5" borderId="45" xfId="0" applyFont="1" applyFill="1" applyBorder="1"/>
    <xf numFmtId="0" fontId="5" fillId="5" borderId="8" xfId="0" applyFont="1" applyFill="1" applyBorder="1"/>
    <xf numFmtId="0" fontId="5" fillId="5" borderId="68" xfId="0" applyFont="1" applyFill="1" applyBorder="1"/>
    <xf numFmtId="1" fontId="7" fillId="0" borderId="18" xfId="0" applyNumberFormat="1" applyFont="1" applyFill="1" applyBorder="1"/>
    <xf numFmtId="1" fontId="5" fillId="0" borderId="63" xfId="0" applyNumberFormat="1" applyFont="1" applyFill="1" applyBorder="1"/>
    <xf numFmtId="1" fontId="5" fillId="0" borderId="17" xfId="0" applyNumberFormat="1" applyFont="1" applyFill="1" applyBorder="1"/>
    <xf numFmtId="1" fontId="5" fillId="0" borderId="78" xfId="0" applyNumberFormat="1" applyFont="1" applyFill="1" applyBorder="1"/>
    <xf numFmtId="1" fontId="5" fillId="0" borderId="19" xfId="0" applyNumberFormat="1" applyFont="1" applyFill="1" applyBorder="1"/>
    <xf numFmtId="2" fontId="7" fillId="0" borderId="41" xfId="0" applyNumberFormat="1" applyFont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2" fontId="7" fillId="0" borderId="79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9" fontId="7" fillId="0" borderId="80" xfId="0" applyNumberFormat="1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69" xfId="0" applyFont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1" fontId="7" fillId="0" borderId="64" xfId="0" applyNumberFormat="1" applyFont="1" applyBorder="1" applyAlignment="1">
      <alignment horizontal="center"/>
    </xf>
    <xf numFmtId="49" fontId="7" fillId="0" borderId="8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83" xfId="0" applyFont="1" applyFill="1" applyBorder="1" applyAlignment="1">
      <alignment horizontal="left"/>
    </xf>
    <xf numFmtId="2" fontId="7" fillId="0" borderId="60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0" fontId="7" fillId="0" borderId="85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5" fillId="0" borderId="0" xfId="0" applyFont="1" applyFill="1"/>
    <xf numFmtId="164" fontId="7" fillId="0" borderId="34" xfId="0" applyNumberFormat="1" applyFont="1" applyFill="1" applyBorder="1" applyAlignment="1"/>
    <xf numFmtId="0" fontId="5" fillId="0" borderId="49" xfId="0" applyFont="1" applyFill="1" applyBorder="1"/>
    <xf numFmtId="0" fontId="5" fillId="0" borderId="86" xfId="0" applyFont="1" applyFill="1" applyBorder="1"/>
    <xf numFmtId="1" fontId="5" fillId="0" borderId="8" xfId="0" applyNumberFormat="1" applyFont="1" applyFill="1" applyBorder="1"/>
    <xf numFmtId="0" fontId="0" fillId="0" borderId="0" xfId="0" applyFill="1"/>
    <xf numFmtId="0" fontId="5" fillId="7" borderId="29" xfId="0" applyFont="1" applyFill="1" applyBorder="1"/>
    <xf numFmtId="0" fontId="5" fillId="7" borderId="60" xfId="0" applyFont="1" applyFill="1" applyBorder="1"/>
    <xf numFmtId="1" fontId="3" fillId="0" borderId="14" xfId="0" applyNumberFormat="1" applyFont="1" applyFill="1" applyBorder="1"/>
    <xf numFmtId="1" fontId="5" fillId="7" borderId="16" xfId="0" applyNumberFormat="1" applyFont="1" applyFill="1" applyBorder="1"/>
    <xf numFmtId="16" fontId="5" fillId="3" borderId="88" xfId="0" applyNumberFormat="1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left"/>
    </xf>
    <xf numFmtId="0" fontId="5" fillId="3" borderId="7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14" sqref="J14"/>
    </sheetView>
  </sheetViews>
  <sheetFormatPr defaultRowHeight="12.75" outlineLevelRow="2"/>
  <cols>
    <col min="1" max="1" width="6" bestFit="1" customWidth="1"/>
    <col min="2" max="2" width="74.28515625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9" bestFit="1" customWidth="1"/>
    <col min="8" max="9" width="9.5703125" bestFit="1" customWidth="1"/>
    <col min="10" max="10" width="10" bestFit="1" customWidth="1"/>
    <col min="11" max="11" width="9" bestFit="1" customWidth="1"/>
    <col min="12" max="12" width="10.5703125" bestFit="1" customWidth="1"/>
    <col min="13" max="13" width="9.5703125" bestFit="1" customWidth="1"/>
    <col min="14" max="14" width="10" bestFit="1" customWidth="1"/>
    <col min="15" max="15" width="9.7109375" bestFit="1" customWidth="1"/>
    <col min="16" max="16" width="10" bestFit="1" customWidth="1"/>
    <col min="17" max="17" width="9.5703125" bestFit="1" customWidth="1"/>
    <col min="18" max="18" width="9" bestFit="1" customWidth="1"/>
    <col min="19" max="19" width="9.7109375" customWidth="1"/>
  </cols>
  <sheetData>
    <row r="1" spans="1:21">
      <c r="A1" s="222" t="s">
        <v>0</v>
      </c>
      <c r="B1" s="222"/>
      <c r="C1" s="222"/>
      <c r="D1" s="222"/>
      <c r="E1" s="222"/>
    </row>
    <row r="2" spans="1:21" ht="13.5" thickBot="1">
      <c r="A2" s="222" t="s">
        <v>171</v>
      </c>
      <c r="B2" s="222"/>
      <c r="C2" s="222"/>
      <c r="D2" s="222"/>
      <c r="E2" s="222"/>
    </row>
    <row r="3" spans="1:21" ht="13.5" thickBot="1">
      <c r="A3" s="223"/>
      <c r="B3" s="223"/>
      <c r="C3" s="223"/>
      <c r="D3" s="223"/>
      <c r="E3" s="223"/>
      <c r="F3" s="218" t="s">
        <v>175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114"/>
      <c r="T3" s="220" t="s">
        <v>43</v>
      </c>
      <c r="U3" s="220" t="s">
        <v>44</v>
      </c>
    </row>
    <row r="4" spans="1:21" ht="52.15" customHeight="1" thickBot="1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94" t="s">
        <v>170</v>
      </c>
      <c r="G4" s="90" t="s">
        <v>89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216" t="s">
        <v>176</v>
      </c>
      <c r="T4" s="221"/>
      <c r="U4" s="221"/>
    </row>
    <row r="5" spans="1:21" ht="13.5" thickBot="1">
      <c r="A5" s="27">
        <v>1</v>
      </c>
      <c r="B5" s="6" t="s">
        <v>106</v>
      </c>
      <c r="C5" s="37">
        <f>D5/D80</f>
        <v>4.8748460632345463</v>
      </c>
      <c r="D5" s="16">
        <f t="shared" ref="D5:D45" si="0">E5/12</f>
        <v>121393.41666666667</v>
      </c>
      <c r="E5" s="67">
        <v>1456721</v>
      </c>
      <c r="F5" s="206"/>
      <c r="G5" s="138">
        <f>38400+66148-19140+2712+3915+3480+1725+3263</f>
        <v>100503</v>
      </c>
      <c r="H5" s="138">
        <f>59046-19140+3915+650+650+650+650+650+650+650+650+650+650+3914+4566</f>
        <v>58801</v>
      </c>
      <c r="I5" s="138">
        <f>67429+49369-19140+4134+6500+4134</f>
        <v>112426</v>
      </c>
      <c r="J5" s="138">
        <f>76890+49406+68308-19140+4134+6500+4134</f>
        <v>190232</v>
      </c>
      <c r="K5" s="138">
        <f>58680-19140+6500+7716</f>
        <v>53756</v>
      </c>
      <c r="L5" s="138">
        <f>78322+16538-19140+44297+6500+4132+5706</f>
        <v>136355</v>
      </c>
      <c r="M5" s="138">
        <f>52666+48693+45252-19140+7977+4132+6500+7977+1305+2204+2088+826</f>
        <v>160480</v>
      </c>
      <c r="N5" s="138">
        <f>6500+7977+1305+11906+1958+54219+3550+531+40059</f>
        <v>128005</v>
      </c>
      <c r="O5" s="138">
        <f>50391+4060+6500+3654+7977</f>
        <v>72582</v>
      </c>
      <c r="P5" s="138">
        <f>51691+42266+61166+7977+6500+5488+7977</f>
        <v>183065</v>
      </c>
      <c r="Q5" s="138">
        <f>25072+7977+6500+4133+5746+7977+8860</f>
        <v>66265</v>
      </c>
      <c r="R5" s="138">
        <f>34021+35942+35626+80520+7977</f>
        <v>194086</v>
      </c>
      <c r="S5" s="139"/>
      <c r="T5" s="140">
        <f>SUM(G5:S5)</f>
        <v>1456556</v>
      </c>
      <c r="U5" s="140">
        <f>E5-T5</f>
        <v>165</v>
      </c>
    </row>
    <row r="6" spans="1:21" ht="13.5" thickBot="1">
      <c r="A6" s="27">
        <v>2</v>
      </c>
      <c r="B6" s="6" t="s">
        <v>117</v>
      </c>
      <c r="C6" s="37">
        <f>D6/D80</f>
        <v>0.76861296281423175</v>
      </c>
      <c r="D6" s="16">
        <f t="shared" si="0"/>
        <v>19140</v>
      </c>
      <c r="E6" s="67">
        <v>229680</v>
      </c>
      <c r="F6" s="168"/>
      <c r="G6" s="95">
        <v>19140</v>
      </c>
      <c r="H6" s="95">
        <v>19140</v>
      </c>
      <c r="I6" s="95">
        <v>19140</v>
      </c>
      <c r="J6" s="95">
        <v>19140</v>
      </c>
      <c r="K6" s="95">
        <v>19140</v>
      </c>
      <c r="L6" s="95">
        <v>19140</v>
      </c>
      <c r="M6" s="95">
        <v>19140</v>
      </c>
      <c r="N6" s="95">
        <v>19140</v>
      </c>
      <c r="O6" s="95"/>
      <c r="P6" s="95">
        <f>19140+19140</f>
        <v>38280</v>
      </c>
      <c r="Q6" s="95"/>
      <c r="R6" s="95">
        <f>19140+19140</f>
        <v>38280</v>
      </c>
      <c r="S6" s="141"/>
      <c r="T6" s="140">
        <f>SUM(G6:S6)</f>
        <v>229680</v>
      </c>
      <c r="U6" s="140">
        <f>E6-T6</f>
        <v>0</v>
      </c>
    </row>
    <row r="7" spans="1:21" ht="13.5" thickBot="1">
      <c r="A7" s="27">
        <v>3</v>
      </c>
      <c r="B7" s="6" t="s">
        <v>118</v>
      </c>
      <c r="C7" s="37">
        <f>D7/D80</f>
        <v>1.9751358659277702</v>
      </c>
      <c r="D7" s="16">
        <f>E7/12</f>
        <v>49184.833333333336</v>
      </c>
      <c r="E7" s="67">
        <v>590218</v>
      </c>
      <c r="F7" s="158">
        <v>30435</v>
      </c>
      <c r="G7" s="210">
        <f>23588+221+6626+11803</f>
        <v>42238</v>
      </c>
      <c r="H7" s="210">
        <f>294+27944+9282+7082</f>
        <v>44602</v>
      </c>
      <c r="I7" s="210">
        <f>263.22+27944+9425</f>
        <v>37632.22</v>
      </c>
      <c r="J7" s="210">
        <f>29010+274+12292+12292+7114</f>
        <v>60982</v>
      </c>
      <c r="K7" s="95">
        <f>309+30834+10589+1435</f>
        <v>43167</v>
      </c>
      <c r="L7" s="210">
        <f>309+29014+9796+7820</f>
        <v>46939</v>
      </c>
      <c r="M7" s="210">
        <f>370+29010+13986+7335+8346</f>
        <v>59047</v>
      </c>
      <c r="N7" s="210">
        <f>28520+290+8968+9259</f>
        <v>47037</v>
      </c>
      <c r="O7" s="210">
        <f>33004+290+7789</f>
        <v>41083</v>
      </c>
      <c r="P7" s="210">
        <f>31304+290+12774+7200+12592</f>
        <v>64160</v>
      </c>
      <c r="Q7" s="95">
        <f>8315+21304+290</f>
        <v>29909</v>
      </c>
      <c r="R7" s="95">
        <f>8860+6557+28086+580+9647</f>
        <v>53730</v>
      </c>
      <c r="S7" s="127">
        <f>21004+290</f>
        <v>21294</v>
      </c>
      <c r="T7" s="23">
        <f>SUM(G7:S7)</f>
        <v>591820.22</v>
      </c>
      <c r="U7" s="23">
        <f>E7-T7</f>
        <v>-1602.2199999999721</v>
      </c>
    </row>
    <row r="8" spans="1:21" ht="13.5" thickBot="1">
      <c r="A8" s="27">
        <v>4</v>
      </c>
      <c r="B8" s="6" t="s">
        <v>105</v>
      </c>
      <c r="C8" s="37">
        <f>D8/D80</f>
        <v>0.39822771932642625</v>
      </c>
      <c r="D8" s="16">
        <f t="shared" si="0"/>
        <v>9916.6666666666661</v>
      </c>
      <c r="E8" s="67">
        <v>119000</v>
      </c>
      <c r="F8" s="158"/>
      <c r="G8" s="95">
        <f>520+270+46.13+63.87+184.52+255.48+691.94+958.06+127.55+480+388.69+330.74+87.19+15+490+71+125+192+226.45+313.55+905.81+1254.19+254</f>
        <v>8251.17</v>
      </c>
      <c r="H8" s="95">
        <f>336+30.51+169.49+432+6+150+250+75+84.81+125+295.23+420+25+44.64+80.36+178.57+300+321.43+669.64+1205.36+365+490+44.64+80.36+178.57+321.43+669.64+1205.36</f>
        <v>8554.0400000000009</v>
      </c>
      <c r="I8" s="95">
        <f>15+91.53+337.15+318+468.34+150+250+93.69+150+159.6+246.85+52.42+72.58+209.68+290.32+786.29+1088.71+300+52.42+72.58+209.68+290.32+786.29+1088.71</f>
        <v>7580.16</v>
      </c>
      <c r="J8" s="95">
        <f>35+92.61+204+384.45+276+330+402+10+93.53+125+247.03+490+210+50+75+200+300+750+1125+114+141.78+20+93.53+341.54+50+75+200+300+750+1125</f>
        <v>8610.4699999999993</v>
      </c>
      <c r="K8" s="95">
        <f>456+50+243.6+225+234+490+107.19+125+293.4+52.42+72.58+209.68+290.32+786.29+1088.71+36+200.4+52.42+72.58+209.68+290.32+786.29+1088.71</f>
        <v>7460.59</v>
      </c>
      <c r="L8" s="95">
        <f>30+93.53+391.61+490+60+366+6+120+6+12.5+40.97+82.69+192+540+6+90+210+76.13+120+221.49+30+162+50+75+200+300+750+1125+105.6+50+75+200+300+750+1125</f>
        <v>8452.52</v>
      </c>
      <c r="M8" s="95">
        <f>20+76.13+156+263.33+36+78+180+490+69.6+150+243.47+470+52.42+72.58+209.68+290.32+786.29+1088.71+126+15+87+95+120+226+52.42+72.58+209.68+290.32+786.29+1088.71</f>
        <v>7901.53</v>
      </c>
      <c r="N8" s="95">
        <f>368.4+72+294+138+650+271+52+336+18+60+30+48.39+76.61+193.55+306.45+725.81+1149.19+200.3+52.2+95.7+20+650+48.39+76.61+193.55+306.45+725.81+1149.19</f>
        <v>8307.6</v>
      </c>
      <c r="O8" s="95">
        <f>204+555+251.59+87+51.33+88.67+205.33+354.67+770+1330+84+650+650+51.33+88.67+205.33+354.67+770+1330</f>
        <v>8081.59</v>
      </c>
      <c r="P8" s="95">
        <f>258.46+95.7+87+15+300+156+248.4+30+211.33+87+6+510+240+54.19+85.81+216.77+343.23+812.9+1287.1+25+69.6+92.7+305.83+54.19+85.81+216.77+343.23+812.9+1287.1</f>
        <v>8338.02</v>
      </c>
      <c r="Q8" s="95">
        <f>576+270+402+10+69.6+125.36+135.13+360+51.33+88.67+205.33+354.67+770+1330+37.2+650+294+51.33+88.67+205.33+354.67+770+1330</f>
        <v>8529.2900000000009</v>
      </c>
      <c r="R8" s="95">
        <f>347.91+540+179.71+52.2+650+366+54.19+85.81+216.77+343.23+812.9+1287.1+90+178.13+95.7+52.2+5</f>
        <v>5356.8499999999995</v>
      </c>
      <c r="S8" s="127"/>
      <c r="T8" s="23">
        <f t="shared" ref="T8:T20" si="1">SUM(G8:S8)</f>
        <v>95423.830000000016</v>
      </c>
      <c r="U8" s="23">
        <f t="shared" ref="U8:U71" si="2">E8-T8</f>
        <v>23576.169999999984</v>
      </c>
    </row>
    <row r="9" spans="1:21">
      <c r="A9" s="147">
        <v>5</v>
      </c>
      <c r="B9" s="7" t="s">
        <v>5</v>
      </c>
      <c r="C9" s="38">
        <f>D9/D80</f>
        <v>4.0157417074933741E-2</v>
      </c>
      <c r="D9" s="17">
        <f t="shared" si="0"/>
        <v>1000</v>
      </c>
      <c r="E9" s="68">
        <f>E10+E11</f>
        <v>12000</v>
      </c>
      <c r="F9" s="159">
        <f>SUM(F10:F11)</f>
        <v>687.21</v>
      </c>
      <c r="G9" s="89">
        <f>SUM(G10:G11)</f>
        <v>103.4</v>
      </c>
      <c r="H9" s="89">
        <f>SUM(H10:H11)</f>
        <v>1051.83</v>
      </c>
      <c r="I9" s="89">
        <f>SUM(I10:I11)</f>
        <v>1349.49</v>
      </c>
      <c r="J9" s="89">
        <f t="shared" ref="J9:S9" si="3">SUM(J10:J11)</f>
        <v>724.52</v>
      </c>
      <c r="K9" s="89">
        <f t="shared" si="3"/>
        <v>0</v>
      </c>
      <c r="L9" s="89">
        <f t="shared" si="3"/>
        <v>4385.99</v>
      </c>
      <c r="M9" s="89">
        <f t="shared" si="3"/>
        <v>0</v>
      </c>
      <c r="N9" s="89">
        <f t="shared" si="3"/>
        <v>607</v>
      </c>
      <c r="O9" s="89">
        <f t="shared" si="3"/>
        <v>0</v>
      </c>
      <c r="P9" s="89">
        <f t="shared" si="3"/>
        <v>3115.4</v>
      </c>
      <c r="Q9" s="89">
        <f t="shared" si="3"/>
        <v>247</v>
      </c>
      <c r="R9" s="89">
        <f t="shared" si="3"/>
        <v>7328.74</v>
      </c>
      <c r="S9" s="89">
        <f t="shared" si="3"/>
        <v>0</v>
      </c>
      <c r="T9" s="24">
        <f t="shared" si="1"/>
        <v>18913.37</v>
      </c>
      <c r="U9" s="24">
        <f t="shared" si="2"/>
        <v>-6913.369999999999</v>
      </c>
    </row>
    <row r="10" spans="1:21" s="58" customFormat="1" ht="12" outlineLevel="1">
      <c r="A10" s="32" t="s">
        <v>45</v>
      </c>
      <c r="B10" s="44" t="s">
        <v>96</v>
      </c>
      <c r="C10" s="45">
        <f>D10/D80</f>
        <v>3.0118062806200305E-2</v>
      </c>
      <c r="D10" s="48">
        <f t="shared" si="0"/>
        <v>750</v>
      </c>
      <c r="E10" s="50">
        <v>9000</v>
      </c>
      <c r="F10" s="128">
        <v>687.21</v>
      </c>
      <c r="G10" s="96"/>
      <c r="H10" s="96">
        <f>952.53</f>
        <v>952.53</v>
      </c>
      <c r="I10" s="96">
        <f>672.25</f>
        <v>672.25</v>
      </c>
      <c r="J10" s="96">
        <f>724.52</f>
        <v>724.52</v>
      </c>
      <c r="K10" s="96"/>
      <c r="L10" s="96">
        <f>3016+160.48</f>
        <v>3176.48</v>
      </c>
      <c r="M10" s="96"/>
      <c r="N10" s="96"/>
      <c r="O10" s="96"/>
      <c r="P10" s="96">
        <f>1463.2*2</f>
        <v>2926.4</v>
      </c>
      <c r="Q10" s="96"/>
      <c r="R10" s="96">
        <v>7328.74</v>
      </c>
      <c r="S10" s="128"/>
      <c r="T10" s="57">
        <f t="shared" si="1"/>
        <v>15780.92</v>
      </c>
      <c r="U10" s="57">
        <f t="shared" si="2"/>
        <v>-6780.92</v>
      </c>
    </row>
    <row r="11" spans="1:21" s="58" customFormat="1" outlineLevel="1" thickBot="1">
      <c r="A11" s="32" t="s">
        <v>46</v>
      </c>
      <c r="B11" s="53" t="s">
        <v>6</v>
      </c>
      <c r="C11" s="54">
        <f>D11/D80</f>
        <v>1.0039354268733435E-2</v>
      </c>
      <c r="D11" s="49">
        <f t="shared" si="0"/>
        <v>250</v>
      </c>
      <c r="E11" s="69">
        <v>3000</v>
      </c>
      <c r="F11" s="129"/>
      <c r="G11" s="97">
        <f>103.4</f>
        <v>103.4</v>
      </c>
      <c r="H11" s="97">
        <f>99.3</f>
        <v>99.3</v>
      </c>
      <c r="I11" s="97">
        <f>456.4+39.6+41.1+140.14</f>
        <v>677.24</v>
      </c>
      <c r="J11" s="97"/>
      <c r="K11" s="97"/>
      <c r="L11" s="97">
        <f>1209.51</f>
        <v>1209.51</v>
      </c>
      <c r="M11" s="97"/>
      <c r="N11" s="97">
        <f>607</f>
        <v>607</v>
      </c>
      <c r="O11" s="97"/>
      <c r="P11" s="97">
        <f>84+35+35+35</f>
        <v>189</v>
      </c>
      <c r="Q11" s="97">
        <f>247</f>
        <v>247</v>
      </c>
      <c r="R11" s="97"/>
      <c r="S11" s="129"/>
      <c r="T11" s="57">
        <f t="shared" si="1"/>
        <v>3132.45</v>
      </c>
      <c r="U11" s="70">
        <f t="shared" si="2"/>
        <v>-132.44999999999982</v>
      </c>
    </row>
    <row r="12" spans="1:21">
      <c r="A12" s="28" t="s">
        <v>107</v>
      </c>
      <c r="B12" s="7" t="s">
        <v>7</v>
      </c>
      <c r="C12" s="38">
        <f>D12/D80</f>
        <v>0.14055095976226809</v>
      </c>
      <c r="D12" s="17">
        <f t="shared" si="0"/>
        <v>3500</v>
      </c>
      <c r="E12" s="68">
        <f>SUM(E13:E14)</f>
        <v>42000</v>
      </c>
      <c r="F12" s="160">
        <f t="shared" ref="F12:S12" si="4">SUM(F13:F14)</f>
        <v>0</v>
      </c>
      <c r="G12" s="72">
        <f t="shared" si="4"/>
        <v>0</v>
      </c>
      <c r="H12" s="72">
        <f>SUM(H13:H14)</f>
        <v>3000</v>
      </c>
      <c r="I12" s="72">
        <f t="shared" si="4"/>
        <v>3000</v>
      </c>
      <c r="J12" s="72">
        <f t="shared" si="4"/>
        <v>3000</v>
      </c>
      <c r="K12" s="72">
        <f t="shared" si="4"/>
        <v>3000</v>
      </c>
      <c r="L12" s="72">
        <f t="shared" si="4"/>
        <v>3000</v>
      </c>
      <c r="M12" s="72">
        <f t="shared" si="4"/>
        <v>3000</v>
      </c>
      <c r="N12" s="72">
        <f t="shared" si="4"/>
        <v>3000</v>
      </c>
      <c r="O12" s="72">
        <f t="shared" si="4"/>
        <v>3000</v>
      </c>
      <c r="P12" s="72">
        <f t="shared" si="4"/>
        <v>3000</v>
      </c>
      <c r="Q12" s="72">
        <f t="shared" si="4"/>
        <v>3000</v>
      </c>
      <c r="R12" s="72">
        <f t="shared" si="4"/>
        <v>3000</v>
      </c>
      <c r="S12" s="72">
        <f t="shared" si="4"/>
        <v>3000</v>
      </c>
      <c r="T12" s="24">
        <f t="shared" si="1"/>
        <v>36000</v>
      </c>
      <c r="U12" s="24">
        <f t="shared" si="2"/>
        <v>6000</v>
      </c>
    </row>
    <row r="13" spans="1:21" s="58" customFormat="1" ht="12" outlineLevel="1">
      <c r="A13" s="32" t="s">
        <v>131</v>
      </c>
      <c r="B13" s="71" t="s">
        <v>8</v>
      </c>
      <c r="C13" s="45">
        <f>D13/D80</f>
        <v>0.12047225122480122</v>
      </c>
      <c r="D13" s="48">
        <f t="shared" si="0"/>
        <v>3000</v>
      </c>
      <c r="E13" s="50">
        <v>36000</v>
      </c>
      <c r="F13" s="161"/>
      <c r="G13" s="73"/>
      <c r="H13" s="73">
        <v>3000</v>
      </c>
      <c r="I13" s="73">
        <v>3000</v>
      </c>
      <c r="J13" s="73">
        <v>3000</v>
      </c>
      <c r="K13" s="73">
        <v>3000</v>
      </c>
      <c r="L13" s="73">
        <v>3000</v>
      </c>
      <c r="M13" s="73">
        <v>3000</v>
      </c>
      <c r="N13" s="73">
        <v>3000</v>
      </c>
      <c r="O13" s="73">
        <v>3000</v>
      </c>
      <c r="P13" s="73">
        <v>3000</v>
      </c>
      <c r="Q13" s="73">
        <v>3000</v>
      </c>
      <c r="R13" s="73">
        <v>3000</v>
      </c>
      <c r="S13" s="130">
        <v>3000</v>
      </c>
      <c r="T13" s="57">
        <f t="shared" si="1"/>
        <v>36000</v>
      </c>
      <c r="U13" s="57">
        <f t="shared" si="2"/>
        <v>0</v>
      </c>
    </row>
    <row r="14" spans="1:21" s="58" customFormat="1" ht="12" outlineLevel="1">
      <c r="A14" s="32" t="s">
        <v>132</v>
      </c>
      <c r="B14" s="44" t="s">
        <v>9</v>
      </c>
      <c r="C14" s="45">
        <f>D14/D80</f>
        <v>2.007870853746687E-2</v>
      </c>
      <c r="D14" s="48">
        <f t="shared" si="0"/>
        <v>500</v>
      </c>
      <c r="E14" s="50">
        <f>E15+E16</f>
        <v>6000</v>
      </c>
      <c r="F14" s="161">
        <f t="shared" ref="F14:S14" si="5">SUM(F15:F16)</f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5"/>
        <v>0</v>
      </c>
      <c r="O14" s="73">
        <f t="shared" si="5"/>
        <v>0</v>
      </c>
      <c r="P14" s="73">
        <f t="shared" si="5"/>
        <v>0</v>
      </c>
      <c r="Q14" s="73">
        <f t="shared" si="5"/>
        <v>0</v>
      </c>
      <c r="R14" s="73">
        <f t="shared" si="5"/>
        <v>0</v>
      </c>
      <c r="S14" s="73">
        <f t="shared" si="5"/>
        <v>0</v>
      </c>
      <c r="T14" s="55">
        <f t="shared" si="1"/>
        <v>0</v>
      </c>
      <c r="U14" s="57">
        <f t="shared" si="2"/>
        <v>6000</v>
      </c>
    </row>
    <row r="15" spans="1:21" s="12" customFormat="1" ht="12" outlineLevel="2">
      <c r="A15" s="30" t="s">
        <v>133</v>
      </c>
      <c r="B15" s="3" t="s">
        <v>10</v>
      </c>
      <c r="C15" s="45">
        <f>D15/D80</f>
        <v>6.6929028458222895E-3</v>
      </c>
      <c r="D15" s="18">
        <f t="shared" si="0"/>
        <v>166.66666666666666</v>
      </c>
      <c r="E15" s="83">
        <v>2000</v>
      </c>
      <c r="F15" s="162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31"/>
      <c r="T15" s="21">
        <f t="shared" si="1"/>
        <v>0</v>
      </c>
      <c r="U15" s="21">
        <f t="shared" si="2"/>
        <v>2000</v>
      </c>
    </row>
    <row r="16" spans="1:21" s="12" customFormat="1" outlineLevel="2" thickBot="1">
      <c r="A16" s="31" t="s">
        <v>134</v>
      </c>
      <c r="B16" s="4" t="s">
        <v>71</v>
      </c>
      <c r="C16" s="45">
        <f>D16/D80</f>
        <v>1.3385805691644579E-2</v>
      </c>
      <c r="D16" s="19">
        <f t="shared" si="0"/>
        <v>333.33333333333331</v>
      </c>
      <c r="E16" s="84">
        <v>4000</v>
      </c>
      <c r="F16" s="163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32"/>
      <c r="T16" s="115">
        <f t="shared" si="1"/>
        <v>0</v>
      </c>
      <c r="U16" s="25">
        <f t="shared" si="2"/>
        <v>4000</v>
      </c>
    </row>
    <row r="17" spans="1:22" ht="13.5" thickBot="1">
      <c r="A17" s="29" t="s">
        <v>108</v>
      </c>
      <c r="B17" s="6" t="s">
        <v>190</v>
      </c>
      <c r="C17" s="37">
        <f>D17/D80</f>
        <v>8.3661285572778632E-3</v>
      </c>
      <c r="D17" s="16">
        <f t="shared" si="0"/>
        <v>208.33333333333334</v>
      </c>
      <c r="E17" s="67">
        <v>2500</v>
      </c>
      <c r="F17" s="158"/>
      <c r="G17" s="95"/>
      <c r="H17" s="95"/>
      <c r="I17" s="95"/>
      <c r="J17" s="95"/>
      <c r="K17" s="95">
        <f>1200+1800+2264</f>
        <v>5264</v>
      </c>
      <c r="L17" s="95"/>
      <c r="M17" s="95"/>
      <c r="N17" s="95"/>
      <c r="O17" s="95"/>
      <c r="P17" s="95"/>
      <c r="Q17" s="95"/>
      <c r="R17" s="95"/>
      <c r="S17" s="141"/>
      <c r="T17" s="23">
        <f>SUM(G17:S17)</f>
        <v>5264</v>
      </c>
      <c r="U17" s="23">
        <f t="shared" si="2"/>
        <v>-2764</v>
      </c>
    </row>
    <row r="18" spans="1:22">
      <c r="A18" s="28" t="s">
        <v>109</v>
      </c>
      <c r="B18" s="7" t="s">
        <v>69</v>
      </c>
      <c r="C18" s="38">
        <f>D18/D80</f>
        <v>0.17337964822102642</v>
      </c>
      <c r="D18" s="17">
        <f t="shared" si="0"/>
        <v>4317.5</v>
      </c>
      <c r="E18" s="68">
        <f>SUM(E19:E21)</f>
        <v>51810</v>
      </c>
      <c r="F18" s="164">
        <f t="shared" ref="F18:S18" si="6">SUM(F19:F21)</f>
        <v>0</v>
      </c>
      <c r="G18" s="74">
        <f t="shared" si="6"/>
        <v>2085</v>
      </c>
      <c r="H18" s="74">
        <f t="shared" si="6"/>
        <v>5495.5</v>
      </c>
      <c r="I18" s="74">
        <f t="shared" si="6"/>
        <v>3354</v>
      </c>
      <c r="J18" s="74">
        <f t="shared" si="6"/>
        <v>4900</v>
      </c>
      <c r="K18" s="74">
        <f t="shared" si="6"/>
        <v>2279.5</v>
      </c>
      <c r="L18" s="74">
        <f t="shared" si="6"/>
        <v>1800</v>
      </c>
      <c r="M18" s="74">
        <f t="shared" si="6"/>
        <v>1211</v>
      </c>
      <c r="N18" s="74">
        <f t="shared" si="6"/>
        <v>290</v>
      </c>
      <c r="O18" s="74">
        <f t="shared" si="6"/>
        <v>181.6</v>
      </c>
      <c r="P18" s="74">
        <f t="shared" si="6"/>
        <v>7079</v>
      </c>
      <c r="Q18" s="74">
        <f t="shared" si="6"/>
        <v>5450</v>
      </c>
      <c r="R18" s="74">
        <f t="shared" si="6"/>
        <v>1539.46</v>
      </c>
      <c r="S18" s="116">
        <f t="shared" si="6"/>
        <v>0</v>
      </c>
      <c r="T18" s="24">
        <f t="shared" si="1"/>
        <v>35665.06</v>
      </c>
      <c r="U18" s="24">
        <f t="shared" si="2"/>
        <v>16144.940000000002</v>
      </c>
    </row>
    <row r="19" spans="1:22" s="58" customFormat="1" ht="12" outlineLevel="1">
      <c r="A19" s="32" t="s">
        <v>47</v>
      </c>
      <c r="B19" s="44" t="s">
        <v>88</v>
      </c>
      <c r="C19" s="45">
        <f>D19/D80</f>
        <v>5.3543222766578316E-2</v>
      </c>
      <c r="D19" s="48">
        <f t="shared" si="0"/>
        <v>1333.3333333333333</v>
      </c>
      <c r="E19" s="50">
        <v>16000</v>
      </c>
      <c r="F19" s="136"/>
      <c r="G19" s="76">
        <f>1435+650</f>
        <v>2085</v>
      </c>
      <c r="H19" s="76">
        <f>1641+220+106+163.5+20+245</f>
        <v>2395.5</v>
      </c>
      <c r="I19" s="76">
        <v>2154</v>
      </c>
      <c r="J19" s="76">
        <f>1100+3000</f>
        <v>4100</v>
      </c>
      <c r="K19" s="76">
        <v>2279.5</v>
      </c>
      <c r="L19" s="76"/>
      <c r="M19" s="76">
        <v>1211</v>
      </c>
      <c r="N19" s="76">
        <f>290</f>
        <v>290</v>
      </c>
      <c r="O19" s="76">
        <f>117.7+63.9</f>
        <v>181.6</v>
      </c>
      <c r="P19" s="76">
        <f>850+529</f>
        <v>1379</v>
      </c>
      <c r="Q19" s="76">
        <f>1100+350</f>
        <v>1450</v>
      </c>
      <c r="R19" s="76">
        <f>79+56.86+157.4+1246.2</f>
        <v>1539.46</v>
      </c>
      <c r="S19" s="118"/>
      <c r="T19" s="57">
        <f t="shared" si="1"/>
        <v>19065.059999999998</v>
      </c>
      <c r="U19" s="57">
        <f t="shared" si="2"/>
        <v>-3065.0599999999977</v>
      </c>
      <c r="V19" s="133"/>
    </row>
    <row r="20" spans="1:22" s="58" customFormat="1" ht="12" outlineLevel="1">
      <c r="A20" s="32" t="s">
        <v>48</v>
      </c>
      <c r="B20" s="44" t="s">
        <v>72</v>
      </c>
      <c r="C20" s="45">
        <f>D20/D80</f>
        <v>1.3385805691644579E-2</v>
      </c>
      <c r="D20" s="48">
        <f t="shared" si="0"/>
        <v>333.33333333333331</v>
      </c>
      <c r="E20" s="50">
        <v>4000</v>
      </c>
      <c r="F20" s="136"/>
      <c r="G20" s="76"/>
      <c r="H20" s="76">
        <f>350</f>
        <v>350</v>
      </c>
      <c r="I20" s="76"/>
      <c r="J20" s="76">
        <v>800</v>
      </c>
      <c r="K20" s="76"/>
      <c r="L20" s="76">
        <v>300</v>
      </c>
      <c r="M20" s="133"/>
      <c r="N20" s="76"/>
      <c r="O20" s="76"/>
      <c r="P20" s="76">
        <v>1200</v>
      </c>
      <c r="Q20" s="76"/>
      <c r="R20" s="76"/>
      <c r="S20" s="118"/>
      <c r="T20" s="57">
        <f t="shared" si="1"/>
        <v>2650</v>
      </c>
      <c r="U20" s="57">
        <f t="shared" si="2"/>
        <v>1350</v>
      </c>
    </row>
    <row r="21" spans="1:22" s="58" customFormat="1" ht="12" outlineLevel="1">
      <c r="A21" s="32" t="s">
        <v>49</v>
      </c>
      <c r="B21" s="44" t="s">
        <v>68</v>
      </c>
      <c r="C21" s="45">
        <f>D21/D80</f>
        <v>0.10645061976280353</v>
      </c>
      <c r="D21" s="48">
        <f t="shared" si="0"/>
        <v>2650.8333333333335</v>
      </c>
      <c r="E21" s="50">
        <f t="shared" ref="E21:S21" si="7">SUM(E22:E24)</f>
        <v>31810</v>
      </c>
      <c r="F21" s="136">
        <f>SUM(F22:F24)</f>
        <v>0</v>
      </c>
      <c r="G21" s="76">
        <f t="shared" si="7"/>
        <v>0</v>
      </c>
      <c r="H21" s="76">
        <f t="shared" si="7"/>
        <v>2750</v>
      </c>
      <c r="I21" s="76">
        <f t="shared" si="7"/>
        <v>1200</v>
      </c>
      <c r="J21" s="76">
        <f t="shared" si="7"/>
        <v>0</v>
      </c>
      <c r="K21" s="76">
        <f t="shared" si="7"/>
        <v>0</v>
      </c>
      <c r="L21" s="76">
        <f t="shared" si="7"/>
        <v>1500</v>
      </c>
      <c r="M21" s="76">
        <f t="shared" si="7"/>
        <v>0</v>
      </c>
      <c r="N21" s="76">
        <f t="shared" si="7"/>
        <v>0</v>
      </c>
      <c r="O21" s="76">
        <f t="shared" si="7"/>
        <v>0</v>
      </c>
      <c r="P21" s="76">
        <f t="shared" si="7"/>
        <v>4500</v>
      </c>
      <c r="Q21" s="76">
        <f t="shared" si="7"/>
        <v>4000</v>
      </c>
      <c r="R21" s="76">
        <f t="shared" si="7"/>
        <v>0</v>
      </c>
      <c r="S21" s="76">
        <f t="shared" si="7"/>
        <v>0</v>
      </c>
      <c r="T21" s="57">
        <f>SUM(F21:S21)</f>
        <v>13950</v>
      </c>
      <c r="U21" s="143">
        <f t="shared" si="2"/>
        <v>17860</v>
      </c>
    </row>
    <row r="22" spans="1:22" s="12" customFormat="1" ht="11.25" outlineLevel="2">
      <c r="A22" s="30" t="s">
        <v>135</v>
      </c>
      <c r="B22" s="3" t="s">
        <v>70</v>
      </c>
      <c r="C22" s="39">
        <f>D22/D80</f>
        <v>4.0492062217224855E-3</v>
      </c>
      <c r="D22" s="18">
        <f t="shared" si="0"/>
        <v>100.83333333333333</v>
      </c>
      <c r="E22" s="83">
        <v>1210</v>
      </c>
      <c r="F22" s="165"/>
      <c r="G22" s="100"/>
      <c r="H22" s="100"/>
      <c r="I22" s="100">
        <v>1200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34"/>
      <c r="T22" s="214">
        <f t="shared" ref="T22:T27" si="8">SUM(G22:S22)</f>
        <v>1200</v>
      </c>
      <c r="U22" s="21">
        <f t="shared" si="2"/>
        <v>10</v>
      </c>
    </row>
    <row r="23" spans="1:22" s="12" customFormat="1" ht="11.25" outlineLevel="2">
      <c r="A23" s="30" t="s">
        <v>136</v>
      </c>
      <c r="B23" s="77" t="s">
        <v>188</v>
      </c>
      <c r="C23" s="39">
        <f>D23/D80</f>
        <v>8.5669156426525325E-2</v>
      </c>
      <c r="D23" s="79">
        <f t="shared" si="0"/>
        <v>2133.3333333333335</v>
      </c>
      <c r="E23" s="85">
        <v>25600</v>
      </c>
      <c r="F23" s="134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34"/>
      <c r="T23" s="21">
        <f t="shared" si="8"/>
        <v>0</v>
      </c>
      <c r="U23" s="21">
        <f t="shared" si="2"/>
        <v>25600</v>
      </c>
    </row>
    <row r="24" spans="1:22" s="12" customFormat="1" outlineLevel="2" thickBot="1">
      <c r="A24" s="30" t="s">
        <v>137</v>
      </c>
      <c r="B24" s="77" t="s">
        <v>93</v>
      </c>
      <c r="C24" s="39">
        <f>D24/D80</f>
        <v>1.6732257114555726E-2</v>
      </c>
      <c r="D24" s="79">
        <f t="shared" si="0"/>
        <v>416.66666666666669</v>
      </c>
      <c r="E24" s="85">
        <v>5000</v>
      </c>
      <c r="F24" s="165"/>
      <c r="G24" s="100"/>
      <c r="H24" s="100">
        <v>2750</v>
      </c>
      <c r="I24" s="100"/>
      <c r="J24" s="100"/>
      <c r="K24" s="100"/>
      <c r="L24" s="100">
        <v>1500</v>
      </c>
      <c r="M24" s="76"/>
      <c r="N24" s="100"/>
      <c r="O24" s="100"/>
      <c r="P24" s="100">
        <v>4500</v>
      </c>
      <c r="Q24" s="100">
        <v>4000</v>
      </c>
      <c r="R24" s="100"/>
      <c r="S24" s="134"/>
      <c r="T24" s="21">
        <f t="shared" si="8"/>
        <v>12750</v>
      </c>
      <c r="U24" s="21">
        <f t="shared" si="2"/>
        <v>-7750</v>
      </c>
    </row>
    <row r="25" spans="1:22">
      <c r="A25" s="28" t="s">
        <v>110</v>
      </c>
      <c r="B25" s="7" t="s">
        <v>12</v>
      </c>
      <c r="C25" s="38">
        <f>D25/D80</f>
        <v>7.3621931304045193E-2</v>
      </c>
      <c r="D25" s="17">
        <f t="shared" si="0"/>
        <v>1833.3333333333333</v>
      </c>
      <c r="E25" s="68">
        <f>SUM(E26:E30)</f>
        <v>22000</v>
      </c>
      <c r="F25" s="164">
        <f t="shared" ref="F25:S25" si="9">SUM(F26:F30)</f>
        <v>0</v>
      </c>
      <c r="G25" s="74">
        <f t="shared" si="9"/>
        <v>0</v>
      </c>
      <c r="H25" s="74">
        <f t="shared" si="9"/>
        <v>4068.84</v>
      </c>
      <c r="I25" s="74">
        <f>SUM(I26:I30)</f>
        <v>101</v>
      </c>
      <c r="J25" s="74">
        <f t="shared" si="9"/>
        <v>0</v>
      </c>
      <c r="K25" s="74">
        <f t="shared" si="9"/>
        <v>0</v>
      </c>
      <c r="L25" s="74">
        <f t="shared" si="9"/>
        <v>2706.01</v>
      </c>
      <c r="M25" s="74">
        <f t="shared" si="9"/>
        <v>0</v>
      </c>
      <c r="N25" s="74">
        <f>SUM(N26:N30)</f>
        <v>0</v>
      </c>
      <c r="O25" s="74">
        <f t="shared" si="9"/>
        <v>3179.85</v>
      </c>
      <c r="P25" s="74">
        <f t="shared" si="9"/>
        <v>1782.2199999999998</v>
      </c>
      <c r="Q25" s="74">
        <f t="shared" si="9"/>
        <v>0</v>
      </c>
      <c r="R25" s="74">
        <f t="shared" si="9"/>
        <v>4284.08</v>
      </c>
      <c r="S25" s="116">
        <f t="shared" si="9"/>
        <v>0</v>
      </c>
      <c r="T25" s="24">
        <f t="shared" si="8"/>
        <v>16122</v>
      </c>
      <c r="U25" s="24">
        <f t="shared" si="2"/>
        <v>5878</v>
      </c>
      <c r="V25" s="211"/>
    </row>
    <row r="26" spans="1:22" s="58" customFormat="1" ht="12" outlineLevel="1">
      <c r="A26" s="32" t="s">
        <v>50</v>
      </c>
      <c r="B26" s="44" t="s">
        <v>13</v>
      </c>
      <c r="C26" s="45">
        <f>D26/D80</f>
        <v>1.6732257114555726E-2</v>
      </c>
      <c r="D26" s="48">
        <f t="shared" si="0"/>
        <v>416.66666666666669</v>
      </c>
      <c r="E26" s="50">
        <v>5000</v>
      </c>
      <c r="F26" s="118"/>
      <c r="G26" s="76"/>
      <c r="H26" s="76"/>
      <c r="I26" s="76">
        <v>101</v>
      </c>
      <c r="J26" s="76"/>
      <c r="K26" s="76"/>
      <c r="L26" s="76"/>
      <c r="M26" s="76"/>
      <c r="N26" s="76"/>
      <c r="O26" s="76">
        <f>3361.45-1180-117.7-63.9</f>
        <v>1999.85</v>
      </c>
      <c r="P26" s="76"/>
      <c r="Q26" s="76"/>
      <c r="R26" s="76">
        <f>1002+152.78+362+998+35.02</f>
        <v>2549.7999999999997</v>
      </c>
      <c r="S26" s="118"/>
      <c r="T26" s="57">
        <f t="shared" si="8"/>
        <v>4650.6499999999996</v>
      </c>
      <c r="U26" s="57">
        <f t="shared" si="2"/>
        <v>349.35000000000036</v>
      </c>
    </row>
    <row r="27" spans="1:22" s="58" customFormat="1" ht="12" outlineLevel="1">
      <c r="A27" s="32" t="s">
        <v>51</v>
      </c>
      <c r="B27" s="44" t="s">
        <v>14</v>
      </c>
      <c r="C27" s="45">
        <f>D27/D80</f>
        <v>2.007870853746687E-2</v>
      </c>
      <c r="D27" s="48">
        <f t="shared" si="0"/>
        <v>500</v>
      </c>
      <c r="E27" s="50">
        <v>6000</v>
      </c>
      <c r="F27" s="118"/>
      <c r="G27" s="76"/>
      <c r="H27" s="76">
        <f>4068.84-900</f>
        <v>3168.84</v>
      </c>
      <c r="I27" s="76"/>
      <c r="J27" s="76"/>
      <c r="K27" s="76"/>
      <c r="L27" s="76"/>
      <c r="M27" s="76"/>
      <c r="N27" s="133"/>
      <c r="O27" s="76"/>
      <c r="P27" s="76">
        <f>2311.22-529-790.6-79.06</f>
        <v>912.55999999999972</v>
      </c>
      <c r="Q27" s="76"/>
      <c r="R27" s="76">
        <f>39.9+474.36+237+50.59+304+185.7+420+22.73</f>
        <v>1734.28</v>
      </c>
      <c r="S27" s="118"/>
      <c r="T27" s="57">
        <f t="shared" si="8"/>
        <v>5815.6799999999994</v>
      </c>
      <c r="U27" s="57">
        <f t="shared" si="2"/>
        <v>184.32000000000062</v>
      </c>
    </row>
    <row r="28" spans="1:22" s="58" customFormat="1" ht="12" outlineLevel="1">
      <c r="A28" s="32" t="s">
        <v>52</v>
      </c>
      <c r="B28" s="44" t="s">
        <v>15</v>
      </c>
      <c r="C28" s="45">
        <f>D28/D80</f>
        <v>2.007870853746687E-2</v>
      </c>
      <c r="D28" s="48">
        <f t="shared" si="0"/>
        <v>500</v>
      </c>
      <c r="E28" s="50">
        <v>6000</v>
      </c>
      <c r="F28" s="136"/>
      <c r="G28" s="76"/>
      <c r="H28" s="76"/>
      <c r="I28" s="76"/>
      <c r="J28" s="76"/>
      <c r="K28" s="76"/>
      <c r="L28" s="76">
        <v>2706.01</v>
      </c>
      <c r="M28" s="76"/>
      <c r="N28" s="76"/>
      <c r="O28" s="76"/>
      <c r="P28" s="76">
        <f>790.6+79.06</f>
        <v>869.66000000000008</v>
      </c>
      <c r="Q28" s="76"/>
      <c r="R28" s="76"/>
      <c r="S28" s="118"/>
      <c r="T28" s="57">
        <f t="shared" ref="T28:T74" si="10">SUM(G28:S28)</f>
        <v>3575.67</v>
      </c>
      <c r="U28" s="57">
        <f t="shared" si="2"/>
        <v>2424.33</v>
      </c>
    </row>
    <row r="29" spans="1:22" s="58" customFormat="1" ht="12" outlineLevel="1">
      <c r="A29" s="32" t="s">
        <v>53</v>
      </c>
      <c r="B29" s="44" t="s">
        <v>16</v>
      </c>
      <c r="C29" s="45">
        <f>D29/D80</f>
        <v>3.3464514229111448E-3</v>
      </c>
      <c r="D29" s="48">
        <f t="shared" si="0"/>
        <v>83.333333333333329</v>
      </c>
      <c r="E29" s="50">
        <v>1000</v>
      </c>
      <c r="F29" s="136"/>
      <c r="G29" s="76"/>
      <c r="H29" s="76">
        <v>900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18"/>
      <c r="T29" s="57">
        <f t="shared" si="10"/>
        <v>900</v>
      </c>
      <c r="U29" s="57">
        <f t="shared" si="2"/>
        <v>100</v>
      </c>
    </row>
    <row r="30" spans="1:22" s="58" customFormat="1" outlineLevel="1" thickBot="1">
      <c r="A30" s="33" t="s">
        <v>54</v>
      </c>
      <c r="B30" s="53" t="s">
        <v>84</v>
      </c>
      <c r="C30" s="54">
        <f>D30/D80</f>
        <v>1.3385805691644579E-2</v>
      </c>
      <c r="D30" s="49">
        <f t="shared" si="0"/>
        <v>333.33333333333331</v>
      </c>
      <c r="E30" s="69">
        <v>4000</v>
      </c>
      <c r="F30" s="166"/>
      <c r="G30" s="101"/>
      <c r="H30" s="133"/>
      <c r="I30" s="101"/>
      <c r="J30" s="101"/>
      <c r="K30" s="101"/>
      <c r="L30" s="101"/>
      <c r="M30" s="101"/>
      <c r="N30" s="101"/>
      <c r="O30" s="101">
        <f>285+895</f>
        <v>1180</v>
      </c>
      <c r="P30" s="101"/>
      <c r="Q30" s="101"/>
      <c r="R30" s="101"/>
      <c r="S30" s="135"/>
      <c r="T30" s="70">
        <f t="shared" si="10"/>
        <v>1180</v>
      </c>
      <c r="U30" s="70">
        <f t="shared" si="2"/>
        <v>2820</v>
      </c>
    </row>
    <row r="31" spans="1:22" ht="27" customHeight="1">
      <c r="A31" s="28" t="s">
        <v>111</v>
      </c>
      <c r="B31" s="8" t="s">
        <v>17</v>
      </c>
      <c r="C31" s="42">
        <f>D31/D80</f>
        <v>1.0049393623002167</v>
      </c>
      <c r="D31" s="43">
        <f t="shared" si="0"/>
        <v>25025</v>
      </c>
      <c r="E31" s="86">
        <f>SUM(E32:E46)</f>
        <v>300300</v>
      </c>
      <c r="F31" s="167">
        <f t="shared" ref="F31:S31" si="11">SUM(F32:F46)</f>
        <v>13360</v>
      </c>
      <c r="G31" s="75">
        <f t="shared" si="11"/>
        <v>3000</v>
      </c>
      <c r="H31" s="75">
        <f t="shared" si="11"/>
        <v>14163.2</v>
      </c>
      <c r="I31" s="75">
        <f>SUM(I32:I46)</f>
        <v>66400</v>
      </c>
      <c r="J31" s="75">
        <f t="shared" si="11"/>
        <v>24600</v>
      </c>
      <c r="K31" s="75">
        <f t="shared" si="11"/>
        <v>31000</v>
      </c>
      <c r="L31" s="75">
        <f t="shared" si="11"/>
        <v>33900</v>
      </c>
      <c r="M31" s="75">
        <f t="shared" si="11"/>
        <v>25900</v>
      </c>
      <c r="N31" s="75">
        <f t="shared" si="11"/>
        <v>23420.34</v>
      </c>
      <c r="O31" s="75">
        <f t="shared" si="11"/>
        <v>3733.34</v>
      </c>
      <c r="P31" s="75">
        <f t="shared" si="11"/>
        <v>10400</v>
      </c>
      <c r="Q31" s="75">
        <f t="shared" si="11"/>
        <v>41790.160000000003</v>
      </c>
      <c r="R31" s="75">
        <f t="shared" si="11"/>
        <v>18571.95</v>
      </c>
      <c r="S31" s="117">
        <f t="shared" si="11"/>
        <v>2500</v>
      </c>
      <c r="T31" s="120">
        <f t="shared" si="10"/>
        <v>299378.99000000005</v>
      </c>
      <c r="U31" s="121">
        <f t="shared" si="2"/>
        <v>921.00999999995111</v>
      </c>
    </row>
    <row r="32" spans="1:22" s="58" customFormat="1" ht="12" outlineLevel="1">
      <c r="A32" s="32" t="s">
        <v>56</v>
      </c>
      <c r="B32" s="44" t="s">
        <v>164</v>
      </c>
      <c r="C32" s="45">
        <f>D32/D80</f>
        <v>1.0708644553315666E-2</v>
      </c>
      <c r="D32" s="48">
        <f t="shared" si="0"/>
        <v>266.66666666666669</v>
      </c>
      <c r="E32" s="50">
        <v>3200</v>
      </c>
      <c r="F32" s="118"/>
      <c r="G32" s="76"/>
      <c r="H32" s="76">
        <v>1817.2</v>
      </c>
      <c r="I32" s="76"/>
      <c r="J32" s="76"/>
      <c r="K32" s="76"/>
      <c r="L32" s="76"/>
      <c r="M32" s="76"/>
      <c r="N32" s="76"/>
      <c r="O32" s="76"/>
      <c r="P32" s="76"/>
      <c r="Q32" s="76"/>
      <c r="R32" s="76">
        <f>1343.31+1128.64</f>
        <v>2471.9499999999998</v>
      </c>
      <c r="S32" s="118"/>
      <c r="T32" s="57">
        <f t="shared" si="10"/>
        <v>4289.1499999999996</v>
      </c>
      <c r="U32" s="57">
        <f t="shared" si="2"/>
        <v>-1089.1499999999996</v>
      </c>
    </row>
    <row r="33" spans="1:21" s="58" customFormat="1" ht="12" outlineLevel="1">
      <c r="A33" s="32" t="s">
        <v>57</v>
      </c>
      <c r="B33" s="80" t="s">
        <v>55</v>
      </c>
      <c r="C33" s="45">
        <f>D33/D80</f>
        <v>0.15393676545391269</v>
      </c>
      <c r="D33" s="48">
        <f t="shared" si="0"/>
        <v>3833.3333333333335</v>
      </c>
      <c r="E33" s="50">
        <v>46000</v>
      </c>
      <c r="F33" s="118">
        <v>3000</v>
      </c>
      <c r="G33" s="76">
        <v>3000</v>
      </c>
      <c r="H33" s="76">
        <v>3000</v>
      </c>
      <c r="I33" s="76"/>
      <c r="J33" s="76">
        <v>3000</v>
      </c>
      <c r="K33" s="76">
        <v>3000</v>
      </c>
      <c r="L33" s="76">
        <v>3000</v>
      </c>
      <c r="M33" s="76">
        <v>3000</v>
      </c>
      <c r="N33" s="76"/>
      <c r="O33" s="76"/>
      <c r="P33" s="76">
        <v>3000</v>
      </c>
      <c r="Q33" s="76"/>
      <c r="R33" s="76">
        <f>3000+6000</f>
        <v>9000</v>
      </c>
      <c r="S33" s="118"/>
      <c r="T33" s="57">
        <f t="shared" si="10"/>
        <v>30000</v>
      </c>
      <c r="U33" s="143">
        <f t="shared" si="2"/>
        <v>16000</v>
      </c>
    </row>
    <row r="34" spans="1:21" s="58" customFormat="1" ht="12" outlineLevel="1">
      <c r="A34" s="32" t="s">
        <v>58</v>
      </c>
      <c r="B34" s="81" t="s">
        <v>18</v>
      </c>
      <c r="C34" s="45">
        <f>D34/D80</f>
        <v>0.10039354268733434</v>
      </c>
      <c r="D34" s="48">
        <f t="shared" si="0"/>
        <v>2500</v>
      </c>
      <c r="E34" s="50">
        <v>30000</v>
      </c>
      <c r="F34" s="118">
        <v>2500</v>
      </c>
      <c r="G34" s="76"/>
      <c r="H34" s="76">
        <v>2500</v>
      </c>
      <c r="I34" s="76">
        <v>2500</v>
      </c>
      <c r="J34" s="76">
        <f>2500-2500</f>
        <v>0</v>
      </c>
      <c r="K34" s="76">
        <f>2500-2500</f>
        <v>0</v>
      </c>
      <c r="L34" s="76">
        <f>2500-2500</f>
        <v>0</v>
      </c>
      <c r="M34" s="76">
        <v>10000</v>
      </c>
      <c r="N34" s="76">
        <v>2500</v>
      </c>
      <c r="O34" s="76">
        <v>2500</v>
      </c>
      <c r="P34" s="76">
        <v>2500</v>
      </c>
      <c r="Q34" s="76">
        <v>2500</v>
      </c>
      <c r="R34" s="76">
        <v>2500</v>
      </c>
      <c r="S34" s="118">
        <v>2500</v>
      </c>
      <c r="T34" s="57">
        <f t="shared" si="10"/>
        <v>30000</v>
      </c>
      <c r="U34" s="57">
        <f t="shared" si="2"/>
        <v>0</v>
      </c>
    </row>
    <row r="35" spans="1:21" s="58" customFormat="1" ht="12" outlineLevel="1">
      <c r="A35" s="32" t="s">
        <v>73</v>
      </c>
      <c r="B35" s="44" t="s">
        <v>177</v>
      </c>
      <c r="C35" s="45">
        <f>D35/D80</f>
        <v>2.6771611383289158E-2</v>
      </c>
      <c r="D35" s="48">
        <f t="shared" si="0"/>
        <v>666.66666666666663</v>
      </c>
      <c r="E35" s="50">
        <v>8000</v>
      </c>
      <c r="F35" s="136"/>
      <c r="G35" s="76"/>
      <c r="H35" s="76">
        <v>246</v>
      </c>
      <c r="I35" s="76"/>
      <c r="J35" s="76"/>
      <c r="K35" s="76"/>
      <c r="L35" s="133"/>
      <c r="M35" s="76"/>
      <c r="N35" s="76"/>
      <c r="O35" s="76"/>
      <c r="P35" s="76"/>
      <c r="Q35" s="76"/>
      <c r="R35" s="76"/>
      <c r="S35" s="118"/>
      <c r="T35" s="57">
        <f t="shared" si="10"/>
        <v>246</v>
      </c>
      <c r="U35" s="57">
        <f t="shared" si="2"/>
        <v>7754</v>
      </c>
    </row>
    <row r="36" spans="1:21" s="58" customFormat="1" ht="12" outlineLevel="1">
      <c r="A36" s="32" t="s">
        <v>75</v>
      </c>
      <c r="B36" s="44" t="s">
        <v>20</v>
      </c>
      <c r="C36" s="45">
        <f>D36/D80</f>
        <v>3.2125933659946995E-2</v>
      </c>
      <c r="D36" s="48">
        <f t="shared" si="0"/>
        <v>800</v>
      </c>
      <c r="E36" s="50">
        <v>9600</v>
      </c>
      <c r="F36" s="136"/>
      <c r="G36" s="76"/>
      <c r="H36" s="76"/>
      <c r="I36" s="76">
        <v>2400</v>
      </c>
      <c r="J36" s="76">
        <v>2400</v>
      </c>
      <c r="K36" s="76"/>
      <c r="L36" s="96"/>
      <c r="M36" s="76">
        <v>2400</v>
      </c>
      <c r="N36" s="76"/>
      <c r="O36" s="76"/>
      <c r="P36" s="76">
        <v>2400</v>
      </c>
      <c r="Q36" s="76"/>
      <c r="R36" s="76">
        <v>2400</v>
      </c>
      <c r="S36" s="118"/>
      <c r="T36" s="143">
        <f t="shared" si="10"/>
        <v>12000</v>
      </c>
      <c r="U36" s="143">
        <f t="shared" si="2"/>
        <v>-2400</v>
      </c>
    </row>
    <row r="37" spans="1:21" s="58" customFormat="1" ht="12" outlineLevel="1">
      <c r="A37" s="32" t="s">
        <v>79</v>
      </c>
      <c r="B37" s="44" t="s">
        <v>100</v>
      </c>
      <c r="C37" s="45">
        <f>D37/D80</f>
        <v>1.3385805691644579E-2</v>
      </c>
      <c r="D37" s="48">
        <f t="shared" si="0"/>
        <v>333.33333333333331</v>
      </c>
      <c r="E37" s="50">
        <v>4000</v>
      </c>
      <c r="F37" s="136"/>
      <c r="G37" s="76"/>
      <c r="H37" s="76"/>
      <c r="I37" s="76"/>
      <c r="J37" s="76"/>
      <c r="K37" s="76"/>
      <c r="L37" s="76"/>
      <c r="M37" s="76"/>
      <c r="N37" s="76">
        <v>1497.26</v>
      </c>
      <c r="O37" s="76"/>
      <c r="P37" s="76"/>
      <c r="Q37" s="76"/>
      <c r="R37" s="76"/>
      <c r="S37" s="118"/>
      <c r="T37" s="143">
        <f t="shared" si="10"/>
        <v>1497.26</v>
      </c>
      <c r="U37" s="143">
        <f t="shared" si="2"/>
        <v>2502.7399999999998</v>
      </c>
    </row>
    <row r="38" spans="1:21" s="58" customFormat="1" ht="12" outlineLevel="1">
      <c r="A38" s="32" t="s">
        <v>82</v>
      </c>
      <c r="B38" s="44" t="s">
        <v>101</v>
      </c>
      <c r="C38" s="45">
        <f>D38/D80</f>
        <v>1.5059031403100153E-2</v>
      </c>
      <c r="D38" s="48">
        <f t="shared" si="0"/>
        <v>375</v>
      </c>
      <c r="E38" s="50">
        <v>4500</v>
      </c>
      <c r="F38" s="136"/>
      <c r="G38" s="76"/>
      <c r="H38" s="76"/>
      <c r="I38" s="76"/>
      <c r="J38" s="76"/>
      <c r="K38" s="76"/>
      <c r="L38" s="76"/>
      <c r="M38" s="76"/>
      <c r="N38" s="76">
        <v>1423.08</v>
      </c>
      <c r="O38" s="76">
        <v>1233.3399999999999</v>
      </c>
      <c r="P38" s="76"/>
      <c r="Q38" s="76"/>
      <c r="R38" s="76"/>
      <c r="S38" s="118"/>
      <c r="T38" s="143">
        <f t="shared" si="10"/>
        <v>2656.42</v>
      </c>
      <c r="U38" s="143">
        <f t="shared" si="2"/>
        <v>1843.58</v>
      </c>
    </row>
    <row r="39" spans="1:21" s="58" customFormat="1" ht="12" outlineLevel="1">
      <c r="A39" s="32" t="s">
        <v>103</v>
      </c>
      <c r="B39" s="44" t="s">
        <v>21</v>
      </c>
      <c r="C39" s="45">
        <f>D39/D80</f>
        <v>2.007870853746687E-2</v>
      </c>
      <c r="D39" s="48">
        <f t="shared" si="0"/>
        <v>500</v>
      </c>
      <c r="E39" s="50">
        <v>6000</v>
      </c>
      <c r="F39" s="13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18"/>
      <c r="T39" s="143">
        <f t="shared" si="10"/>
        <v>0</v>
      </c>
      <c r="U39" s="143">
        <f t="shared" si="2"/>
        <v>6000</v>
      </c>
    </row>
    <row r="40" spans="1:21" s="58" customFormat="1" ht="12" outlineLevel="1">
      <c r="A40" s="32" t="s">
        <v>138</v>
      </c>
      <c r="B40" s="44" t="s">
        <v>165</v>
      </c>
      <c r="C40" s="45">
        <f>D40/D80</f>
        <v>2.6771611383289158E-2</v>
      </c>
      <c r="D40" s="48">
        <f t="shared" si="0"/>
        <v>666.66666666666663</v>
      </c>
      <c r="E40" s="50">
        <v>8000</v>
      </c>
      <c r="F40" s="13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18"/>
      <c r="T40" s="143">
        <f t="shared" si="10"/>
        <v>0</v>
      </c>
      <c r="U40" s="143">
        <f t="shared" si="2"/>
        <v>8000</v>
      </c>
    </row>
    <row r="41" spans="1:21" s="58" customFormat="1" ht="12" outlineLevel="1">
      <c r="A41" s="32" t="s">
        <v>139</v>
      </c>
      <c r="B41" s="44" t="s">
        <v>81</v>
      </c>
      <c r="C41" s="45">
        <f>D41/D80</f>
        <v>0.12047225122480122</v>
      </c>
      <c r="D41" s="48">
        <f t="shared" si="0"/>
        <v>3000</v>
      </c>
      <c r="E41" s="50">
        <v>36000</v>
      </c>
      <c r="F41" s="118"/>
      <c r="G41" s="76"/>
      <c r="H41" s="76"/>
      <c r="I41" s="76">
        <f>4000+6500+20000+12000+9000+10000</f>
        <v>61500</v>
      </c>
      <c r="J41" s="76">
        <f>15200+4000</f>
        <v>19200</v>
      </c>
      <c r="K41" s="76"/>
      <c r="L41" s="76">
        <f>17900+8000</f>
        <v>25900</v>
      </c>
      <c r="M41" s="76">
        <v>10500</v>
      </c>
      <c r="N41" s="76">
        <v>18000</v>
      </c>
      <c r="O41" s="76"/>
      <c r="P41" s="76">
        <v>2500</v>
      </c>
      <c r="Q41" s="76">
        <v>9500</v>
      </c>
      <c r="R41" s="76"/>
      <c r="S41" s="118"/>
      <c r="T41" s="143">
        <f t="shared" si="10"/>
        <v>147100</v>
      </c>
      <c r="U41" s="143">
        <f t="shared" si="2"/>
        <v>-111100</v>
      </c>
    </row>
    <row r="42" spans="1:21" s="58" customFormat="1" ht="12" outlineLevel="1">
      <c r="A42" s="32" t="s">
        <v>140</v>
      </c>
      <c r="B42" s="71" t="s">
        <v>78</v>
      </c>
      <c r="C42" s="45">
        <f>D42/D80</f>
        <v>0.14055095976226809</v>
      </c>
      <c r="D42" s="48">
        <f t="shared" si="0"/>
        <v>3500</v>
      </c>
      <c r="E42" s="50">
        <v>42000</v>
      </c>
      <c r="F42" s="118"/>
      <c r="G42" s="76"/>
      <c r="H42" s="76"/>
      <c r="I42" s="76"/>
      <c r="J42" s="76"/>
      <c r="K42" s="76"/>
      <c r="L42" s="76">
        <v>5000</v>
      </c>
      <c r="M42" s="76"/>
      <c r="N42" s="76"/>
      <c r="O42" s="76"/>
      <c r="P42" s="76"/>
      <c r="Q42" s="76">
        <f>3700+7100+1490.16+3600+13900</f>
        <v>29790.16</v>
      </c>
      <c r="R42" s="76">
        <v>2200</v>
      </c>
      <c r="S42" s="118"/>
      <c r="T42" s="143">
        <f t="shared" si="10"/>
        <v>36990.160000000003</v>
      </c>
      <c r="U42" s="143">
        <f t="shared" si="2"/>
        <v>5009.8399999999965</v>
      </c>
    </row>
    <row r="43" spans="1:21" s="58" customFormat="1" ht="12" outlineLevel="1">
      <c r="A43" s="32" t="s">
        <v>141</v>
      </c>
      <c r="B43" s="44" t="s">
        <v>173</v>
      </c>
      <c r="C43" s="181">
        <f>D43/D80</f>
        <v>0.12716515407062351</v>
      </c>
      <c r="D43" s="48">
        <f t="shared" si="0"/>
        <v>3166.6666666666665</v>
      </c>
      <c r="E43" s="50">
        <v>38000</v>
      </c>
      <c r="F43" s="135"/>
      <c r="G43" s="101"/>
      <c r="H43" s="101">
        <v>6600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35"/>
      <c r="T43" s="143">
        <f t="shared" si="10"/>
        <v>6600</v>
      </c>
      <c r="U43" s="143">
        <f t="shared" si="2"/>
        <v>31400</v>
      </c>
    </row>
    <row r="44" spans="1:21" s="58" customFormat="1" ht="12" outlineLevel="1">
      <c r="A44" s="32" t="s">
        <v>142</v>
      </c>
      <c r="B44" s="182" t="s">
        <v>166</v>
      </c>
      <c r="C44" s="149">
        <f>D44/D80</f>
        <v>8.3661285572778632E-2</v>
      </c>
      <c r="D44" s="185">
        <f t="shared" si="0"/>
        <v>2083.3333333333335</v>
      </c>
      <c r="E44" s="50">
        <v>25000</v>
      </c>
      <c r="F44" s="135"/>
      <c r="G44" s="101"/>
      <c r="H44" s="101"/>
      <c r="I44" s="101"/>
      <c r="J44" s="101"/>
      <c r="K44" s="101">
        <v>28000</v>
      </c>
      <c r="L44" s="101"/>
      <c r="M44" s="101"/>
      <c r="N44" s="101"/>
      <c r="O44" s="101"/>
      <c r="P44" s="101"/>
      <c r="Q44" s="101"/>
      <c r="R44" s="101"/>
      <c r="S44" s="135"/>
      <c r="T44" s="143">
        <f t="shared" si="10"/>
        <v>28000</v>
      </c>
      <c r="U44" s="143">
        <f t="shared" si="2"/>
        <v>-3000</v>
      </c>
    </row>
    <row r="45" spans="1:21" s="58" customFormat="1" ht="12" outlineLevel="1">
      <c r="A45" s="32" t="s">
        <v>178</v>
      </c>
      <c r="B45" s="183" t="s">
        <v>181</v>
      </c>
      <c r="C45" s="149">
        <f>D45/D80</f>
        <v>6.6929028458222906E-2</v>
      </c>
      <c r="D45" s="185">
        <f t="shared" si="0"/>
        <v>1666.6666666666667</v>
      </c>
      <c r="E45" s="50">
        <v>20000</v>
      </c>
      <c r="F45" s="135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35"/>
      <c r="T45" s="143">
        <f t="shared" si="10"/>
        <v>0</v>
      </c>
      <c r="U45" s="143">
        <f t="shared" si="2"/>
        <v>20000</v>
      </c>
    </row>
    <row r="46" spans="1:21" s="58" customFormat="1" outlineLevel="1" thickBot="1">
      <c r="A46" s="32" t="s">
        <v>179</v>
      </c>
      <c r="B46" s="58" t="s">
        <v>182</v>
      </c>
      <c r="C46" s="184">
        <f>D46/D80</f>
        <v>6.6929028458222906E-2</v>
      </c>
      <c r="D46" s="48">
        <f t="shared" ref="D46:D78" si="12">E46/12</f>
        <v>1666.6666666666667</v>
      </c>
      <c r="E46" s="50">
        <v>20000</v>
      </c>
      <c r="F46" s="136">
        <v>7860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18"/>
      <c r="T46" s="176">
        <f t="shared" si="10"/>
        <v>0</v>
      </c>
      <c r="U46" s="143">
        <f t="shared" si="2"/>
        <v>20000</v>
      </c>
    </row>
    <row r="47" spans="1:21">
      <c r="A47" s="28" t="s">
        <v>112</v>
      </c>
      <c r="B47" s="7" t="s">
        <v>102</v>
      </c>
      <c r="C47" s="38">
        <f>D47/D80</f>
        <v>0.52539287339704976</v>
      </c>
      <c r="D47" s="17">
        <f t="shared" si="12"/>
        <v>13083.333333333334</v>
      </c>
      <c r="E47" s="68">
        <f>SUM(E48:E54)</f>
        <v>157000</v>
      </c>
      <c r="F47" s="164">
        <f t="shared" ref="F47:S47" si="13">SUM(F48:F54)</f>
        <v>0</v>
      </c>
      <c r="G47" s="74">
        <f t="shared" si="13"/>
        <v>0</v>
      </c>
      <c r="H47" s="74">
        <f t="shared" si="13"/>
        <v>4994.0300000000007</v>
      </c>
      <c r="I47" s="74">
        <f t="shared" si="13"/>
        <v>76645.81</v>
      </c>
      <c r="J47" s="74">
        <f t="shared" si="13"/>
        <v>40554.29</v>
      </c>
      <c r="K47" s="74">
        <f t="shared" si="13"/>
        <v>12753.57</v>
      </c>
      <c r="L47" s="74">
        <f t="shared" si="13"/>
        <v>35869.990000000005</v>
      </c>
      <c r="M47" s="74">
        <f t="shared" si="13"/>
        <v>37181.25</v>
      </c>
      <c r="N47" s="74">
        <f t="shared" si="13"/>
        <v>17332.830000000002</v>
      </c>
      <c r="O47" s="74">
        <f t="shared" si="13"/>
        <v>5026.8</v>
      </c>
      <c r="P47" s="74">
        <f t="shared" si="13"/>
        <v>12441.4</v>
      </c>
      <c r="Q47" s="74">
        <f t="shared" si="13"/>
        <v>10855.45</v>
      </c>
      <c r="R47" s="74">
        <f t="shared" si="13"/>
        <v>45285.100000000006</v>
      </c>
      <c r="S47" s="74">
        <f t="shared" si="13"/>
        <v>0</v>
      </c>
      <c r="T47" s="177">
        <f t="shared" si="10"/>
        <v>298940.52</v>
      </c>
      <c r="U47" s="178">
        <f t="shared" si="2"/>
        <v>-141940.52000000002</v>
      </c>
    </row>
    <row r="48" spans="1:21" s="58" customFormat="1" ht="12" outlineLevel="1">
      <c r="A48" s="32" t="s">
        <v>59</v>
      </c>
      <c r="B48" s="44" t="s">
        <v>191</v>
      </c>
      <c r="C48" s="45">
        <f>D48/D80</f>
        <v>6.0236125612400611E-2</v>
      </c>
      <c r="D48" s="48">
        <f t="shared" si="12"/>
        <v>1500</v>
      </c>
      <c r="E48" s="50">
        <v>18000</v>
      </c>
      <c r="F48" s="136"/>
      <c r="G48" s="76"/>
      <c r="H48" s="76"/>
      <c r="I48" s="76"/>
      <c r="J48" s="76"/>
      <c r="K48" s="76"/>
      <c r="L48" s="207">
        <f>2650+570</f>
        <v>3220</v>
      </c>
      <c r="M48" s="76"/>
      <c r="N48" s="76">
        <v>1988.9</v>
      </c>
      <c r="O48" s="76">
        <f>1546.8</f>
        <v>1546.8</v>
      </c>
      <c r="P48" s="76"/>
      <c r="Q48" s="76"/>
      <c r="R48" s="76"/>
      <c r="S48" s="118"/>
      <c r="T48" s="143">
        <f t="shared" si="10"/>
        <v>6755.7</v>
      </c>
      <c r="U48" s="143">
        <f t="shared" si="2"/>
        <v>11244.3</v>
      </c>
    </row>
    <row r="49" spans="1:21" s="58" customFormat="1" ht="12" outlineLevel="1">
      <c r="A49" s="32" t="s">
        <v>60</v>
      </c>
      <c r="B49" s="44" t="s">
        <v>180</v>
      </c>
      <c r="C49" s="45">
        <f>D49/D80</f>
        <v>0.15059031403100154</v>
      </c>
      <c r="D49" s="48">
        <f t="shared" si="12"/>
        <v>3750</v>
      </c>
      <c r="E49" s="50">
        <v>45000</v>
      </c>
      <c r="F49" s="118"/>
      <c r="G49" s="76"/>
      <c r="H49" s="76">
        <f>275+245+260+416</f>
        <v>1196</v>
      </c>
      <c r="I49" s="92">
        <f>25926.08+256+261+99+159+260</f>
        <v>26961.08</v>
      </c>
      <c r="J49" s="76">
        <f>325+30+638+356+630+820+420+124</f>
        <v>3343</v>
      </c>
      <c r="K49" s="92">
        <f>4173.57+764+100+39.9</f>
        <v>5077.4699999999993</v>
      </c>
      <c r="L49" s="76">
        <f>7409.31+3590+100.62+136</f>
        <v>11235.930000000002</v>
      </c>
      <c r="M49" s="92">
        <f>15016.31+3273.06+3713.58+140.4+40.9+298</f>
        <v>22482.25</v>
      </c>
      <c r="N49" s="76">
        <f>300+225+175+48</f>
        <v>748</v>
      </c>
      <c r="O49" s="92">
        <f>160+79+607+74+175</f>
        <v>1095</v>
      </c>
      <c r="P49" s="76">
        <f>310+148.4+426+24+110+540+177+756</f>
        <v>2491.4</v>
      </c>
      <c r="Q49" s="92">
        <f>7310.58+1568.87+203+506+176+239+620+182+50</f>
        <v>10855.45</v>
      </c>
      <c r="R49" s="76">
        <f>100+485+202+484+352+196.5+5550</f>
        <v>7369.5</v>
      </c>
      <c r="S49" s="118"/>
      <c r="T49" s="143">
        <f t="shared" si="10"/>
        <v>92855.08</v>
      </c>
      <c r="U49" s="143">
        <f t="shared" si="2"/>
        <v>-47855.08</v>
      </c>
    </row>
    <row r="50" spans="1:21" s="58" customFormat="1" ht="12" outlineLevel="1">
      <c r="A50" s="32" t="s">
        <v>61</v>
      </c>
      <c r="B50" s="44" t="s">
        <v>77</v>
      </c>
      <c r="C50" s="45">
        <f>D50/D80</f>
        <v>0</v>
      </c>
      <c r="D50" s="48">
        <f t="shared" si="12"/>
        <v>0</v>
      </c>
      <c r="E50" s="50">
        <v>0</v>
      </c>
      <c r="F50" s="136"/>
      <c r="G50" s="76"/>
      <c r="H50" s="76"/>
      <c r="I50" s="76"/>
      <c r="J50" s="76"/>
      <c r="K50" s="76"/>
      <c r="L50" s="76"/>
      <c r="M50" s="76">
        <v>10499</v>
      </c>
      <c r="N50" s="76"/>
      <c r="O50" s="76"/>
      <c r="P50" s="76"/>
      <c r="Q50" s="76"/>
      <c r="R50" s="76">
        <f>777+5500</f>
        <v>6277</v>
      </c>
      <c r="S50" s="118"/>
      <c r="T50" s="143">
        <f t="shared" si="10"/>
        <v>16776</v>
      </c>
      <c r="U50" s="143">
        <f t="shared" si="2"/>
        <v>-16776</v>
      </c>
    </row>
    <row r="51" spans="1:21" s="58" customFormat="1" ht="12" outlineLevel="1">
      <c r="A51" s="32" t="s">
        <v>62</v>
      </c>
      <c r="B51" s="44" t="s">
        <v>25</v>
      </c>
      <c r="C51" s="45">
        <f>D51/D80</f>
        <v>5.3543222766578316E-2</v>
      </c>
      <c r="D51" s="48">
        <f t="shared" si="12"/>
        <v>1333.3333333333333</v>
      </c>
      <c r="E51" s="50">
        <v>16000</v>
      </c>
      <c r="F51" s="136"/>
      <c r="G51" s="76"/>
      <c r="H51" s="76"/>
      <c r="I51" s="76"/>
      <c r="J51" s="76"/>
      <c r="K51" s="76"/>
      <c r="L51" s="76"/>
      <c r="M51" s="76"/>
      <c r="N51" s="76"/>
      <c r="O51" s="76"/>
      <c r="P51" s="76">
        <v>9950</v>
      </c>
      <c r="Q51" s="76"/>
      <c r="R51" s="76"/>
      <c r="S51" s="118"/>
      <c r="T51" s="143">
        <f t="shared" si="10"/>
        <v>9950</v>
      </c>
      <c r="U51" s="143">
        <f t="shared" si="2"/>
        <v>6050</v>
      </c>
    </row>
    <row r="52" spans="1:21" s="58" customFormat="1" ht="12" outlineLevel="1">
      <c r="A52" s="32" t="s">
        <v>63</v>
      </c>
      <c r="B52" s="71" t="s">
        <v>76</v>
      </c>
      <c r="C52" s="45">
        <f>D52/D80</f>
        <v>1.3385805691644579E-2</v>
      </c>
      <c r="D52" s="48">
        <f t="shared" si="12"/>
        <v>333.33333333333331</v>
      </c>
      <c r="E52" s="50">
        <v>4000</v>
      </c>
      <c r="F52" s="13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118"/>
      <c r="T52" s="143">
        <f t="shared" si="10"/>
        <v>0</v>
      </c>
      <c r="U52" s="143">
        <f t="shared" si="2"/>
        <v>4000</v>
      </c>
    </row>
    <row r="53" spans="1:21" s="58" customFormat="1" ht="12" outlineLevel="1">
      <c r="A53" s="32" t="s">
        <v>64</v>
      </c>
      <c r="B53" s="44" t="s">
        <v>168</v>
      </c>
      <c r="C53" s="45">
        <f>D53/D80</f>
        <v>0.21751934248922444</v>
      </c>
      <c r="D53" s="48">
        <f>E53/12</f>
        <v>5416.666666666667</v>
      </c>
      <c r="E53" s="50">
        <v>65000</v>
      </c>
      <c r="F53" s="148"/>
      <c r="G53" s="76"/>
      <c r="H53" s="76">
        <f>1490-1490+3798.03</f>
        <v>3798.03</v>
      </c>
      <c r="I53" s="76">
        <f>19137.73+1310+4809+3246+325+685+980+12344+130+4943+235+560+380+600</f>
        <v>49684.729999999996</v>
      </c>
      <c r="J53" s="76">
        <f>31302.2+2582.64+288+454+610+504.45+450+880+140</f>
        <v>37211.29</v>
      </c>
      <c r="K53" s="76">
        <f>7476.1+200</f>
        <v>7676.1</v>
      </c>
      <c r="L53" s="76">
        <v>18664.060000000001</v>
      </c>
      <c r="M53" s="76">
        <f>4200</f>
        <v>4200</v>
      </c>
      <c r="N53" s="76">
        <f>11939.27+2656.66</f>
        <v>14595.93</v>
      </c>
      <c r="O53" s="76">
        <v>2385</v>
      </c>
      <c r="P53" s="76"/>
      <c r="Q53" s="76"/>
      <c r="R53" s="76">
        <f>4845.72+22792.88</f>
        <v>27638.600000000002</v>
      </c>
      <c r="S53" s="148"/>
      <c r="T53" s="143">
        <f t="shared" si="10"/>
        <v>165853.74</v>
      </c>
      <c r="U53" s="143">
        <f t="shared" si="2"/>
        <v>-100853.73999999999</v>
      </c>
    </row>
    <row r="54" spans="1:21" s="58" customFormat="1" outlineLevel="1" thickBot="1">
      <c r="A54" s="197" t="s">
        <v>65</v>
      </c>
      <c r="B54" s="198" t="s">
        <v>85</v>
      </c>
      <c r="C54" s="181">
        <f>D54/D80</f>
        <v>3.0118062806200305E-2</v>
      </c>
      <c r="D54" s="52">
        <f>E54/12</f>
        <v>750</v>
      </c>
      <c r="E54" s="87">
        <v>9000</v>
      </c>
      <c r="F54" s="136"/>
      <c r="G54" s="76"/>
      <c r="H54" s="76"/>
      <c r="I54" s="76"/>
      <c r="J54" s="76"/>
      <c r="K54" s="76"/>
      <c r="L54" s="76">
        <v>2750</v>
      </c>
      <c r="M54" s="76"/>
      <c r="N54" s="76"/>
      <c r="O54" s="76"/>
      <c r="P54" s="76"/>
      <c r="Q54" s="76"/>
      <c r="R54" s="76">
        <v>4000</v>
      </c>
      <c r="S54" s="118"/>
      <c r="T54" s="143">
        <f t="shared" si="10"/>
        <v>6750</v>
      </c>
      <c r="U54" s="143">
        <f t="shared" si="2"/>
        <v>2250</v>
      </c>
    </row>
    <row r="55" spans="1:21">
      <c r="A55" s="28" t="s">
        <v>113</v>
      </c>
      <c r="B55" s="188" t="s">
        <v>127</v>
      </c>
      <c r="C55" s="199">
        <f>D55/D80</f>
        <v>3.6054667630444674</v>
      </c>
      <c r="D55" s="193">
        <f t="shared" si="12"/>
        <v>89783.333333333328</v>
      </c>
      <c r="E55" s="68">
        <f t="shared" ref="E55:J55" si="14">SUM(E56:E73)</f>
        <v>1077400</v>
      </c>
      <c r="F55" s="91">
        <f t="shared" si="14"/>
        <v>700</v>
      </c>
      <c r="G55" s="91">
        <f t="shared" si="14"/>
        <v>0</v>
      </c>
      <c r="H55" s="74">
        <f t="shared" si="14"/>
        <v>700</v>
      </c>
      <c r="I55" s="74">
        <f t="shared" si="14"/>
        <v>700</v>
      </c>
      <c r="J55" s="74">
        <f t="shared" si="14"/>
        <v>13076</v>
      </c>
      <c r="K55" s="91">
        <f t="shared" ref="K55:S55" si="15">SUM(K56:K73)</f>
        <v>81487</v>
      </c>
      <c r="L55" s="74">
        <f t="shared" si="15"/>
        <v>324092.75</v>
      </c>
      <c r="M55" s="74">
        <f t="shared" si="15"/>
        <v>57735</v>
      </c>
      <c r="N55" s="74">
        <f>SUM(N56:N73)</f>
        <v>700</v>
      </c>
      <c r="O55" s="91">
        <f t="shared" si="15"/>
        <v>45700</v>
      </c>
      <c r="P55" s="74">
        <f t="shared" si="15"/>
        <v>99055</v>
      </c>
      <c r="Q55" s="74">
        <f t="shared" si="15"/>
        <v>351200</v>
      </c>
      <c r="R55" s="74">
        <f t="shared" si="15"/>
        <v>8267</v>
      </c>
      <c r="S55" s="119">
        <f t="shared" si="15"/>
        <v>74700</v>
      </c>
      <c r="T55" s="178">
        <f t="shared" si="10"/>
        <v>1057412.75</v>
      </c>
      <c r="U55" s="178">
        <f t="shared" si="2"/>
        <v>19987.25</v>
      </c>
    </row>
    <row r="56" spans="1:21" s="58" customFormat="1" ht="12" outlineLevel="1">
      <c r="A56" s="32" t="s">
        <v>143</v>
      </c>
      <c r="B56" s="189" t="s">
        <v>95</v>
      </c>
      <c r="C56" s="149">
        <f>D56/D80</f>
        <v>4.0157417074933741E-2</v>
      </c>
      <c r="D56" s="185">
        <f t="shared" si="12"/>
        <v>1000</v>
      </c>
      <c r="E56" s="50">
        <v>12000</v>
      </c>
      <c r="F56" s="92"/>
      <c r="G56" s="92"/>
      <c r="H56" s="76"/>
      <c r="I56" s="76"/>
      <c r="J56" s="76"/>
      <c r="K56" s="133"/>
      <c r="L56" s="76"/>
      <c r="M56" s="76"/>
      <c r="N56" s="76"/>
      <c r="O56" s="76"/>
      <c r="P56" s="76"/>
      <c r="Q56" s="76">
        <v>20000</v>
      </c>
      <c r="R56" s="76"/>
      <c r="S56" s="118"/>
      <c r="T56" s="143">
        <f t="shared" si="10"/>
        <v>20000</v>
      </c>
      <c r="U56" s="143">
        <f t="shared" si="2"/>
        <v>-8000</v>
      </c>
    </row>
    <row r="57" spans="1:21" s="58" customFormat="1" ht="12" outlineLevel="1">
      <c r="A57" s="32" t="s">
        <v>144</v>
      </c>
      <c r="B57" s="190" t="s">
        <v>167</v>
      </c>
      <c r="C57" s="149">
        <f>D57/D80</f>
        <v>0.33464514229111453</v>
      </c>
      <c r="D57" s="185">
        <f t="shared" si="12"/>
        <v>8333.3333333333339</v>
      </c>
      <c r="E57" s="50">
        <v>100000</v>
      </c>
      <c r="F57" s="92"/>
      <c r="G57" s="92"/>
      <c r="H57" s="76"/>
      <c r="I57" s="76"/>
      <c r="J57" s="76"/>
      <c r="K57" s="76">
        <v>64107</v>
      </c>
      <c r="L57" s="76"/>
      <c r="M57" s="76"/>
      <c r="N57" s="76"/>
      <c r="O57" s="76"/>
      <c r="P57" s="76">
        <v>74867</v>
      </c>
      <c r="Q57" s="76"/>
      <c r="R57" s="76"/>
      <c r="S57" s="118"/>
      <c r="T57" s="143">
        <f t="shared" si="10"/>
        <v>138974</v>
      </c>
      <c r="U57" s="143">
        <f t="shared" si="2"/>
        <v>-38974</v>
      </c>
    </row>
    <row r="58" spans="1:21" s="58" customFormat="1" ht="12" outlineLevel="1">
      <c r="A58" s="32" t="s">
        <v>145</v>
      </c>
      <c r="B58" s="189" t="s">
        <v>122</v>
      </c>
      <c r="C58" s="149">
        <f>D58/D80</f>
        <v>2.6771611383289158E-2</v>
      </c>
      <c r="D58" s="185">
        <f t="shared" si="12"/>
        <v>666.66666666666663</v>
      </c>
      <c r="E58" s="50">
        <v>8000</v>
      </c>
      <c r="F58" s="92"/>
      <c r="G58" s="92"/>
      <c r="H58" s="76"/>
      <c r="I58" s="76"/>
      <c r="J58" s="76"/>
      <c r="K58" s="76"/>
      <c r="L58" s="76"/>
      <c r="M58" s="76"/>
      <c r="N58" s="76"/>
      <c r="O58" s="76"/>
      <c r="P58" s="76">
        <v>7000</v>
      </c>
      <c r="Q58" s="76"/>
      <c r="R58" s="76"/>
      <c r="S58" s="118"/>
      <c r="T58" s="143">
        <f t="shared" si="10"/>
        <v>7000</v>
      </c>
      <c r="U58" s="143">
        <f t="shared" si="2"/>
        <v>1000</v>
      </c>
    </row>
    <row r="59" spans="1:21" s="58" customFormat="1" ht="12" outlineLevel="1">
      <c r="A59" s="32" t="s">
        <v>146</v>
      </c>
      <c r="B59" s="189" t="s">
        <v>125</v>
      </c>
      <c r="C59" s="149">
        <f>D59/D80</f>
        <v>0.10708644553315663</v>
      </c>
      <c r="D59" s="185">
        <f t="shared" si="12"/>
        <v>2666.6666666666665</v>
      </c>
      <c r="E59" s="50">
        <v>32000</v>
      </c>
      <c r="F59" s="92"/>
      <c r="G59" s="92"/>
      <c r="H59" s="76"/>
      <c r="I59" s="76"/>
      <c r="J59" s="76"/>
      <c r="K59" s="76"/>
      <c r="L59" s="76"/>
      <c r="M59" s="76"/>
      <c r="N59" s="76"/>
      <c r="O59" s="76"/>
      <c r="P59" s="76">
        <v>9000</v>
      </c>
      <c r="Q59" s="76"/>
      <c r="R59" s="76"/>
      <c r="S59" s="118"/>
      <c r="T59" s="143">
        <f t="shared" si="10"/>
        <v>9000</v>
      </c>
      <c r="U59" s="143">
        <f t="shared" si="2"/>
        <v>23000</v>
      </c>
    </row>
    <row r="60" spans="1:21" s="58" customFormat="1" ht="12" outlineLevel="1">
      <c r="A60" s="32" t="s">
        <v>147</v>
      </c>
      <c r="B60" s="190" t="s">
        <v>169</v>
      </c>
      <c r="C60" s="149">
        <f>D60/D80</f>
        <v>3.3464514229111453E-2</v>
      </c>
      <c r="D60" s="185">
        <f t="shared" si="12"/>
        <v>833.33333333333337</v>
      </c>
      <c r="E60" s="50">
        <v>10000</v>
      </c>
      <c r="F60" s="92"/>
      <c r="G60" s="92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118"/>
      <c r="T60" s="143">
        <f t="shared" si="10"/>
        <v>0</v>
      </c>
      <c r="U60" s="143">
        <f t="shared" si="2"/>
        <v>10000</v>
      </c>
    </row>
    <row r="61" spans="1:21" s="58" customFormat="1" ht="12" outlineLevel="1">
      <c r="A61" s="32" t="s">
        <v>148</v>
      </c>
      <c r="B61" s="144" t="s">
        <v>128</v>
      </c>
      <c r="C61" s="149">
        <f>D61/D80</f>
        <v>6.6929028458222906E-2</v>
      </c>
      <c r="D61" s="185">
        <f t="shared" si="12"/>
        <v>1666.6666666666667</v>
      </c>
      <c r="E61" s="50">
        <v>20000</v>
      </c>
      <c r="F61" s="92"/>
      <c r="G61" s="92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118"/>
      <c r="T61" s="143">
        <f t="shared" si="10"/>
        <v>0</v>
      </c>
      <c r="U61" s="143">
        <f t="shared" si="2"/>
        <v>20000</v>
      </c>
    </row>
    <row r="62" spans="1:21" s="58" customFormat="1" ht="12" outlineLevel="1">
      <c r="A62" s="32" t="s">
        <v>149</v>
      </c>
      <c r="B62" s="189" t="s">
        <v>74</v>
      </c>
      <c r="C62" s="149">
        <f>D62/D80</f>
        <v>1.3385805691644579E-2</v>
      </c>
      <c r="D62" s="185">
        <f t="shared" si="12"/>
        <v>333.33333333333331</v>
      </c>
      <c r="E62" s="50">
        <v>4000</v>
      </c>
      <c r="F62" s="92"/>
      <c r="G62" s="92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>
        <f>5500</f>
        <v>5500</v>
      </c>
      <c r="S62" s="118"/>
      <c r="T62" s="143">
        <f t="shared" si="10"/>
        <v>5500</v>
      </c>
      <c r="U62" s="143">
        <f t="shared" si="2"/>
        <v>-1500</v>
      </c>
    </row>
    <row r="63" spans="1:21" s="58" customFormat="1" ht="12" outlineLevel="1">
      <c r="A63" s="32" t="s">
        <v>150</v>
      </c>
      <c r="B63" s="190" t="s">
        <v>98</v>
      </c>
      <c r="C63" s="149">
        <f>D63/D80</f>
        <v>2.8110191952453619E-2</v>
      </c>
      <c r="D63" s="185">
        <f t="shared" si="12"/>
        <v>700</v>
      </c>
      <c r="E63" s="50">
        <v>8400</v>
      </c>
      <c r="F63" s="92">
        <v>700</v>
      </c>
      <c r="G63" s="92"/>
      <c r="H63" s="76">
        <v>700</v>
      </c>
      <c r="I63" s="76">
        <v>700</v>
      </c>
      <c r="J63" s="76"/>
      <c r="K63" s="76">
        <f>700+700</f>
        <v>1400</v>
      </c>
      <c r="L63" s="76">
        <v>700</v>
      </c>
      <c r="M63" s="76">
        <v>700</v>
      </c>
      <c r="N63" s="76">
        <v>700</v>
      </c>
      <c r="O63" s="76">
        <v>700</v>
      </c>
      <c r="P63" s="76">
        <v>700</v>
      </c>
      <c r="Q63" s="76">
        <v>700</v>
      </c>
      <c r="R63" s="76">
        <v>700</v>
      </c>
      <c r="S63" s="118">
        <v>700</v>
      </c>
      <c r="T63" s="143">
        <f t="shared" si="10"/>
        <v>8400</v>
      </c>
      <c r="U63" s="143">
        <f t="shared" si="2"/>
        <v>0</v>
      </c>
    </row>
    <row r="64" spans="1:21" s="58" customFormat="1" ht="12" outlineLevel="1">
      <c r="A64" s="32" t="s">
        <v>151</v>
      </c>
      <c r="B64" s="189" t="s">
        <v>97</v>
      </c>
      <c r="C64" s="149">
        <f>D64/D80</f>
        <v>0.16062966829973496</v>
      </c>
      <c r="D64" s="185">
        <f t="shared" si="12"/>
        <v>4000</v>
      </c>
      <c r="E64" s="50">
        <v>48000</v>
      </c>
      <c r="F64" s="92"/>
      <c r="G64" s="92"/>
      <c r="H64" s="76"/>
      <c r="I64" s="76"/>
      <c r="J64" s="76"/>
      <c r="K64" s="76"/>
      <c r="L64" s="76"/>
      <c r="M64" s="76"/>
      <c r="N64" s="133"/>
      <c r="O64" s="76"/>
      <c r="P64" s="76"/>
      <c r="Q64" s="76">
        <v>3600</v>
      </c>
      <c r="R64" s="76">
        <v>2067</v>
      </c>
      <c r="S64" s="118"/>
      <c r="T64" s="143">
        <f t="shared" si="10"/>
        <v>5667</v>
      </c>
      <c r="U64" s="143">
        <f t="shared" si="2"/>
        <v>42333</v>
      </c>
    </row>
    <row r="65" spans="1:21" s="58" customFormat="1" ht="12" outlineLevel="1">
      <c r="A65" s="32" t="s">
        <v>152</v>
      </c>
      <c r="B65" s="189" t="s">
        <v>163</v>
      </c>
      <c r="C65" s="149">
        <f>D65/D80</f>
        <v>7.3621931304045193E-2</v>
      </c>
      <c r="D65" s="185">
        <f t="shared" si="12"/>
        <v>1833.3333333333333</v>
      </c>
      <c r="E65" s="50">
        <v>22000</v>
      </c>
      <c r="F65" s="92"/>
      <c r="G65" s="92"/>
      <c r="H65" s="76"/>
      <c r="I65" s="76"/>
      <c r="J65" s="76"/>
      <c r="K65" s="76">
        <v>15980</v>
      </c>
      <c r="L65" s="76"/>
      <c r="M65" s="76"/>
      <c r="N65" s="76"/>
      <c r="O65" s="76"/>
      <c r="P65" s="76">
        <v>7488</v>
      </c>
      <c r="Q65" s="76"/>
      <c r="R65" s="76"/>
      <c r="S65" s="118"/>
      <c r="T65" s="143">
        <f t="shared" si="10"/>
        <v>23468</v>
      </c>
      <c r="U65" s="143">
        <f t="shared" si="2"/>
        <v>-1468</v>
      </c>
    </row>
    <row r="66" spans="1:21" s="58" customFormat="1" ht="12" outlineLevel="1">
      <c r="A66" s="32" t="s">
        <v>153</v>
      </c>
      <c r="B66" s="200" t="s">
        <v>184</v>
      </c>
      <c r="C66" s="149">
        <f>D66/D80</f>
        <v>2.007870853746687E-2</v>
      </c>
      <c r="D66" s="194">
        <f t="shared" ref="D66:D73" si="16">E66/12</f>
        <v>500</v>
      </c>
      <c r="E66" s="87">
        <v>6000</v>
      </c>
      <c r="F66" s="92"/>
      <c r="G66" s="92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118"/>
      <c r="T66" s="143">
        <f t="shared" si="10"/>
        <v>0</v>
      </c>
      <c r="U66" s="143">
        <f t="shared" si="2"/>
        <v>6000</v>
      </c>
    </row>
    <row r="67" spans="1:21" s="58" customFormat="1" ht="12" outlineLevel="1">
      <c r="A67" s="32" t="s">
        <v>154</v>
      </c>
      <c r="B67" s="191" t="s">
        <v>86</v>
      </c>
      <c r="C67" s="149">
        <f>D67/D80</f>
        <v>0.12716515407062351</v>
      </c>
      <c r="D67" s="194">
        <f t="shared" si="16"/>
        <v>3166.6666666666665</v>
      </c>
      <c r="E67" s="87">
        <v>38000</v>
      </c>
      <c r="F67" s="103"/>
      <c r="G67" s="103"/>
      <c r="H67" s="96"/>
      <c r="I67" s="76"/>
      <c r="J67" s="101"/>
      <c r="K67" s="101"/>
      <c r="L67" s="101"/>
      <c r="M67" s="101"/>
      <c r="N67" s="101"/>
      <c r="O67" s="101">
        <f>20000+25000</f>
        <v>45000</v>
      </c>
      <c r="P67" s="101"/>
      <c r="Q67" s="101"/>
      <c r="R67" s="101"/>
      <c r="S67" s="135"/>
      <c r="T67" s="143">
        <f t="shared" si="10"/>
        <v>45000</v>
      </c>
      <c r="U67" s="143">
        <f t="shared" si="2"/>
        <v>-7000</v>
      </c>
    </row>
    <row r="68" spans="1:21" s="58" customFormat="1" ht="12" outlineLevel="1">
      <c r="A68" s="32" t="s">
        <v>155</v>
      </c>
      <c r="B68" s="182" t="s">
        <v>24</v>
      </c>
      <c r="C68" s="149">
        <f>D68/D80</f>
        <v>1.3385805691644579E-2</v>
      </c>
      <c r="D68" s="195">
        <f t="shared" si="16"/>
        <v>333.33333333333331</v>
      </c>
      <c r="E68" s="110">
        <v>4000</v>
      </c>
      <c r="F68" s="92"/>
      <c r="G68" s="92"/>
      <c r="H68" s="133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118"/>
      <c r="T68" s="143">
        <f t="shared" si="10"/>
        <v>0</v>
      </c>
      <c r="U68" s="143">
        <f t="shared" si="2"/>
        <v>4000</v>
      </c>
    </row>
    <row r="69" spans="1:21" s="58" customFormat="1" ht="12" outlineLevel="1">
      <c r="A69" s="32" t="s">
        <v>156</v>
      </c>
      <c r="B69" s="144" t="s">
        <v>174</v>
      </c>
      <c r="C69" s="149">
        <f>D69/D80</f>
        <v>0.36810965652022593</v>
      </c>
      <c r="D69" s="196">
        <f t="shared" si="16"/>
        <v>9166.6666666666661</v>
      </c>
      <c r="E69" s="187">
        <v>110000</v>
      </c>
      <c r="F69" s="92"/>
      <c r="G69" s="76"/>
      <c r="H69" s="76"/>
      <c r="I69" s="76"/>
      <c r="J69" s="76"/>
      <c r="K69" s="76"/>
      <c r="L69" s="96"/>
      <c r="M69" s="76"/>
      <c r="N69" s="76"/>
      <c r="O69" s="96"/>
      <c r="P69" s="76"/>
      <c r="Q69" s="76"/>
      <c r="R69" s="56"/>
      <c r="S69" s="148"/>
      <c r="T69" s="143">
        <f t="shared" si="10"/>
        <v>0</v>
      </c>
      <c r="U69" s="143">
        <f>E69-T69</f>
        <v>110000</v>
      </c>
    </row>
    <row r="70" spans="1:21" s="58" customFormat="1" ht="12" outlineLevel="1">
      <c r="A70" s="186" t="s">
        <v>157</v>
      </c>
      <c r="B70" s="205" t="s">
        <v>187</v>
      </c>
      <c r="C70" s="149">
        <f>D70/D80</f>
        <v>0.65255802746767333</v>
      </c>
      <c r="D70" s="185">
        <f t="shared" si="12"/>
        <v>16250</v>
      </c>
      <c r="E70" s="142">
        <v>195000</v>
      </c>
      <c r="F70" s="92"/>
      <c r="G70" s="76"/>
      <c r="H70" s="76"/>
      <c r="I70" s="76"/>
      <c r="J70" s="76"/>
      <c r="K70" s="76"/>
      <c r="L70" s="96">
        <f>93000+93000</f>
        <v>186000</v>
      </c>
      <c r="M70" s="76"/>
      <c r="N70" s="76"/>
      <c r="O70" s="96"/>
      <c r="P70" s="76"/>
      <c r="Q70" s="76">
        <v>30900</v>
      </c>
      <c r="R70" s="56"/>
      <c r="S70" s="148"/>
      <c r="T70" s="143">
        <f t="shared" si="10"/>
        <v>216900</v>
      </c>
      <c r="U70" s="143">
        <f t="shared" si="2"/>
        <v>-21900</v>
      </c>
    </row>
    <row r="71" spans="1:21" s="58" customFormat="1" ht="12" outlineLevel="1">
      <c r="A71" s="32" t="s">
        <v>158</v>
      </c>
      <c r="B71" s="192" t="s">
        <v>186</v>
      </c>
      <c r="C71" s="149">
        <f>D71/D80</f>
        <v>0.3179128851765588</v>
      </c>
      <c r="D71" s="185">
        <f t="shared" si="12"/>
        <v>7916.666666666667</v>
      </c>
      <c r="E71" s="142">
        <v>95000</v>
      </c>
      <c r="F71" s="92"/>
      <c r="G71" s="76"/>
      <c r="H71" s="76"/>
      <c r="I71" s="76"/>
      <c r="J71" s="76"/>
      <c r="K71" s="76"/>
      <c r="L71" s="96">
        <f>71438+65954.75</f>
        <v>137392.75</v>
      </c>
      <c r="M71" s="76">
        <f>23000+34035</f>
        <v>57035</v>
      </c>
      <c r="N71" s="76"/>
      <c r="O71" s="96"/>
      <c r="P71" s="76"/>
      <c r="Q71" s="76"/>
      <c r="R71" s="56"/>
      <c r="S71" s="148"/>
      <c r="T71" s="143">
        <f t="shared" si="10"/>
        <v>194427.75</v>
      </c>
      <c r="U71" s="143">
        <f t="shared" si="2"/>
        <v>-99427.75</v>
      </c>
    </row>
    <row r="72" spans="1:21" s="58" customFormat="1" ht="12" outlineLevel="1">
      <c r="A72" s="32" t="s">
        <v>159</v>
      </c>
      <c r="B72" s="204" t="s">
        <v>183</v>
      </c>
      <c r="C72" s="149">
        <f>D72/D80</f>
        <v>1.1377934837897892</v>
      </c>
      <c r="D72" s="195">
        <f t="shared" si="16"/>
        <v>28333.333333333332</v>
      </c>
      <c r="E72" s="142">
        <v>340000</v>
      </c>
      <c r="F72" s="92"/>
      <c r="G72" s="76"/>
      <c r="H72" s="76"/>
      <c r="I72" s="76"/>
      <c r="J72" s="76"/>
      <c r="K72" s="76"/>
      <c r="L72" s="96"/>
      <c r="M72" s="76"/>
      <c r="N72" s="76"/>
      <c r="O72" s="96"/>
      <c r="P72" s="76"/>
      <c r="Q72" s="76">
        <f>280000+16000</f>
        <v>296000</v>
      </c>
      <c r="R72" s="96"/>
      <c r="S72" s="148">
        <v>74000</v>
      </c>
      <c r="T72" s="143">
        <f t="shared" si="10"/>
        <v>370000</v>
      </c>
      <c r="U72" s="143">
        <f>E72-T72</f>
        <v>-30000</v>
      </c>
    </row>
    <row r="73" spans="1:21" s="58" customFormat="1" outlineLevel="1" thickBot="1">
      <c r="A73" s="33" t="s">
        <v>185</v>
      </c>
      <c r="B73" s="201" t="s">
        <v>126</v>
      </c>
      <c r="C73" s="202">
        <f>D73/D80</f>
        <v>8.3661285572778632E-2</v>
      </c>
      <c r="D73" s="203">
        <f t="shared" si="16"/>
        <v>2083.3333333333335</v>
      </c>
      <c r="E73" s="146">
        <v>25000</v>
      </c>
      <c r="F73" s="106"/>
      <c r="G73" s="106"/>
      <c r="H73" s="107"/>
      <c r="I73" s="107"/>
      <c r="J73" s="107">
        <v>13076</v>
      </c>
      <c r="K73" s="107"/>
      <c r="L73" s="107"/>
      <c r="M73" s="107"/>
      <c r="N73" s="107"/>
      <c r="O73" s="107"/>
      <c r="P73" s="107"/>
      <c r="Q73" s="107"/>
      <c r="R73" s="107"/>
      <c r="S73" s="137"/>
      <c r="T73" s="176">
        <f t="shared" si="10"/>
        <v>13076</v>
      </c>
      <c r="U73" s="143">
        <f>E73-T73</f>
        <v>11924</v>
      </c>
    </row>
    <row r="74" spans="1:21" ht="13.5" thickBot="1">
      <c r="A74" s="27">
        <v>13</v>
      </c>
      <c r="B74" s="6" t="s">
        <v>26</v>
      </c>
      <c r="C74" s="37">
        <f>D74/D80</f>
        <v>9.460418172569808E-2</v>
      </c>
      <c r="D74" s="16">
        <f t="shared" si="12"/>
        <v>2355.8333333333335</v>
      </c>
      <c r="E74" s="67">
        <v>28270</v>
      </c>
      <c r="F74" s="208"/>
      <c r="G74" s="102"/>
      <c r="H74" s="95"/>
      <c r="I74" s="95"/>
      <c r="J74" s="95"/>
      <c r="K74" s="95">
        <f>69382+4500</f>
        <v>73882</v>
      </c>
      <c r="L74" s="95"/>
      <c r="M74" s="95"/>
      <c r="N74" s="95"/>
      <c r="O74" s="95"/>
      <c r="P74" s="95"/>
      <c r="Q74" s="95">
        <v>2154</v>
      </c>
      <c r="R74" s="95"/>
      <c r="S74" s="127"/>
      <c r="T74" s="179">
        <f t="shared" si="10"/>
        <v>76036</v>
      </c>
      <c r="U74" s="180">
        <f>E74-T74</f>
        <v>-47766</v>
      </c>
    </row>
    <row r="75" spans="1:21" ht="13.5" thickBot="1">
      <c r="A75" s="61">
        <v>14</v>
      </c>
      <c r="B75" s="62" t="s">
        <v>119</v>
      </c>
      <c r="C75" s="88">
        <f>D75/D80</f>
        <v>-2.4263111396674968</v>
      </c>
      <c r="D75" s="60">
        <f t="shared" si="12"/>
        <v>-60420</v>
      </c>
      <c r="E75" s="63">
        <v>-725040</v>
      </c>
      <c r="F75" s="46">
        <v>98940</v>
      </c>
      <c r="G75" s="93">
        <f>117810+4766.6</f>
        <v>122576.6</v>
      </c>
      <c r="H75" s="212">
        <f>15000+4816.17</f>
        <v>19816.169999999998</v>
      </c>
      <c r="I75" s="212">
        <f>9000+17589+17589+17589+6794.83</f>
        <v>68561.83</v>
      </c>
      <c r="J75" s="212">
        <f>117810+52767+4865.28</f>
        <v>175442.28</v>
      </c>
      <c r="K75" s="47">
        <f>7093.52</f>
        <v>7093.52</v>
      </c>
      <c r="L75" s="47">
        <f>6579.53</f>
        <v>6579.53</v>
      </c>
      <c r="M75" s="47">
        <f>9000+6562.82</f>
        <v>15562.82</v>
      </c>
      <c r="N75" s="212">
        <f>52767+39270+39270+6576.66</f>
        <v>137883.66</v>
      </c>
      <c r="O75" s="47">
        <f>39270+5564.56</f>
        <v>44834.559999999998</v>
      </c>
      <c r="P75" s="47">
        <f>117810+17589+5165.63</f>
        <v>140564.63</v>
      </c>
      <c r="Q75" s="47">
        <f>9000+3000+5294.17</f>
        <v>17294.169999999998</v>
      </c>
      <c r="R75" s="47">
        <f>5774.08+3000</f>
        <v>8774.08</v>
      </c>
      <c r="S75" s="213">
        <v>33685</v>
      </c>
      <c r="T75" s="215">
        <f>-SUM(G75:S75)</f>
        <v>-798668.85</v>
      </c>
      <c r="U75" s="82">
        <f>E75-T75</f>
        <v>73628.849999999977</v>
      </c>
    </row>
    <row r="76" spans="1:21" ht="13.5" thickBot="1">
      <c r="A76" s="151">
        <v>15</v>
      </c>
      <c r="B76" s="152" t="s">
        <v>120</v>
      </c>
      <c r="C76" s="153">
        <f>D76/D80</f>
        <v>0.1455706368966348</v>
      </c>
      <c r="D76" s="154">
        <f t="shared" si="12"/>
        <v>3625</v>
      </c>
      <c r="E76" s="155">
        <v>43500</v>
      </c>
      <c r="F76" s="209">
        <v>25960</v>
      </c>
      <c r="G76" s="169"/>
      <c r="H76" s="170"/>
      <c r="J76" s="170"/>
      <c r="K76" s="170"/>
      <c r="L76" s="170"/>
      <c r="M76" s="170"/>
      <c r="N76" s="170"/>
      <c r="O76" s="170"/>
      <c r="P76" s="170"/>
      <c r="Q76" s="170">
        <v>20146</v>
      </c>
      <c r="R76" s="170"/>
      <c r="S76" s="171">
        <v>2800</v>
      </c>
      <c r="T76" s="156">
        <f>SUM(G76:S76)</f>
        <v>22946</v>
      </c>
      <c r="U76" s="156">
        <f>E76-T76</f>
        <v>20554</v>
      </c>
    </row>
    <row r="77" spans="1:21" ht="13.5" thickBot="1">
      <c r="A77" s="61">
        <v>16</v>
      </c>
      <c r="B77" s="62" t="s">
        <v>189</v>
      </c>
      <c r="C77" s="59">
        <f>D77/D80</f>
        <v>-0.40255468101625036</v>
      </c>
      <c r="D77" s="60">
        <f t="shared" si="12"/>
        <v>-10024.416666666666</v>
      </c>
      <c r="E77" s="63">
        <v>-120293</v>
      </c>
      <c r="F77" s="172"/>
      <c r="G77" s="173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5"/>
      <c r="T77" s="215">
        <f>E77</f>
        <v>-120293</v>
      </c>
      <c r="U77" s="82"/>
    </row>
    <row r="78" spans="1:21" ht="13.5" thickBot="1">
      <c r="A78" s="224" t="s">
        <v>27</v>
      </c>
      <c r="B78" s="225"/>
      <c r="C78" s="64">
        <f>D78/D80</f>
        <v>11.000365767140524</v>
      </c>
      <c r="D78" s="65">
        <f t="shared" si="12"/>
        <v>273931.10833333334</v>
      </c>
      <c r="E78" s="66">
        <v>3287173.3</v>
      </c>
      <c r="F78" s="122">
        <f>F5+F6+F7+F8+F9+F12+F17+F18+F25+F31+F47+F55+F74-F75+F76-F77</f>
        <v>-27797.79</v>
      </c>
      <c r="G78" s="122">
        <f>G5+G6+G7+G8+G9+G12+G17+G18+G25+G31+G47+G55+G74-G75+G76-G77</f>
        <v>52743.97</v>
      </c>
      <c r="H78" s="122">
        <f>H5+H6+H7+H8+H9+H12+H17+H18+H25+H31+H47+H55+H74-H75+H76-H77</f>
        <v>144754.27000000002</v>
      </c>
      <c r="I78" s="122">
        <f>I5+I6+I7+I8+I9+I12+I17+I18+I25+I31+I47+I55+I74-I75+J76-I77</f>
        <v>259766.84999999998</v>
      </c>
      <c r="J78" s="122">
        <f>J5+J6+J7+J8+J9+J12+J17+J18+J25+J31+J47+J55+J74-J75+K76-J77</f>
        <v>190376.99999999997</v>
      </c>
      <c r="K78" s="122">
        <f t="shared" ref="K78:S78" si="17">K5+K6+K7+K8+K9+K12+K17+K18+K25+K31+K47+K55+K74-K75+K76-K77</f>
        <v>326096.14</v>
      </c>
      <c r="L78" s="122">
        <f t="shared" si="17"/>
        <v>610061.73</v>
      </c>
      <c r="M78" s="122">
        <f t="shared" si="17"/>
        <v>356032.96</v>
      </c>
      <c r="N78" s="122">
        <f t="shared" si="17"/>
        <v>109956.11000000002</v>
      </c>
      <c r="O78" s="122">
        <f t="shared" si="17"/>
        <v>137733.62</v>
      </c>
      <c r="P78" s="122">
        <f t="shared" si="17"/>
        <v>290151.41000000003</v>
      </c>
      <c r="Q78" s="122">
        <f t="shared" si="17"/>
        <v>522251.73000000004</v>
      </c>
      <c r="R78" s="122">
        <f t="shared" si="17"/>
        <v>370955.10000000003</v>
      </c>
      <c r="S78" s="122">
        <f t="shared" si="17"/>
        <v>70609</v>
      </c>
      <c r="T78" s="157">
        <f>T5+T6+T7+T8+T9+T12+T17+T18+T25+T31+T47+T55+T74+T75+T76+T77</f>
        <v>3321196.89</v>
      </c>
      <c r="U78" s="26">
        <f>E78-T78</f>
        <v>-34023.590000000317</v>
      </c>
    </row>
    <row r="79" spans="1:21" s="11" customFormat="1" ht="6.75" customHeight="1">
      <c r="G79" s="125"/>
      <c r="H79" s="125"/>
      <c r="I79" s="125"/>
      <c r="J79" s="125"/>
      <c r="K79" s="125"/>
      <c r="R79" s="125"/>
    </row>
    <row r="80" spans="1:21">
      <c r="A80" s="126" t="s">
        <v>28</v>
      </c>
      <c r="B80" s="126"/>
      <c r="C80" s="35"/>
      <c r="D80" s="1">
        <v>24902</v>
      </c>
      <c r="E80" s="2" t="s">
        <v>29</v>
      </c>
      <c r="F80" s="123"/>
      <c r="T80" s="123"/>
    </row>
    <row r="81" spans="1:21" s="11" customFormat="1" ht="6" customHeight="1">
      <c r="G81" s="124"/>
      <c r="U81" s="124"/>
    </row>
    <row r="82" spans="1:21">
      <c r="A82" s="217" t="s">
        <v>172</v>
      </c>
      <c r="B82" s="217"/>
      <c r="C82" s="34"/>
      <c r="F82" s="123"/>
      <c r="H82" s="123"/>
    </row>
    <row r="83" spans="1:21">
      <c r="A83" s="217" t="s">
        <v>30</v>
      </c>
      <c r="B83" s="217"/>
      <c r="C83" s="34"/>
      <c r="D83" s="36">
        <f>D78/D80</f>
        <v>11.000365767140524</v>
      </c>
      <c r="E83" s="2" t="s">
        <v>31</v>
      </c>
    </row>
  </sheetData>
  <sheetProtection password="DC7D" sheet="1" objects="1" scenarios="1" selectLockedCells="1" selectUnlockedCells="1"/>
  <mergeCells count="9">
    <mergeCell ref="U3:U4"/>
    <mergeCell ref="A82:B82"/>
    <mergeCell ref="A83:B83"/>
    <mergeCell ref="F3:R3"/>
    <mergeCell ref="T3:T4"/>
    <mergeCell ref="A1:E1"/>
    <mergeCell ref="A2:E2"/>
    <mergeCell ref="A3:E3"/>
    <mergeCell ref="A78:B78"/>
  </mergeCells>
  <phoneticPr fontId="4" type="noConversion"/>
  <pageMargins left="0.39370078740157483" right="0.31496062992125984" top="0.19685039370078741" bottom="0.19685039370078741" header="0.51181102362204722" footer="0.51181102362204722"/>
  <pageSetup paperSize="9" scale="54" firstPageNumber="0" orientation="landscape" horizontalDpi="300" verticalDpi="300" r:id="rId1"/>
  <headerFooter alignWithMargins="0"/>
  <ignoredErrors>
    <ignoredError sqref="G55:H55 H14 T5 T19:T20 T32:T34 T36 T63 T74 T76 E55" formulaRange="1"/>
    <ignoredError sqref="D78 T21" formula="1"/>
    <ignoredError sqref="A44:A46 A68:A73" twoDigitTextYear="1"/>
    <ignoredError sqref="T75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>
      <selection activeCell="F6" sqref="F6"/>
    </sheetView>
  </sheetViews>
  <sheetFormatPr defaultRowHeight="12.75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>
      <c r="C1" s="226" t="s">
        <v>162</v>
      </c>
      <c r="D1" s="226"/>
      <c r="E1" s="226"/>
    </row>
    <row r="2" spans="1:5">
      <c r="A2" s="222" t="s">
        <v>0</v>
      </c>
      <c r="B2" s="222"/>
      <c r="C2" s="222"/>
      <c r="D2" s="222"/>
      <c r="E2" s="222"/>
    </row>
    <row r="3" spans="1:5">
      <c r="A3" s="222" t="s">
        <v>116</v>
      </c>
      <c r="B3" s="222"/>
      <c r="C3" s="222"/>
      <c r="D3" s="222"/>
      <c r="E3" s="222"/>
    </row>
    <row r="4" spans="1:5" ht="13.5" thickBot="1">
      <c r="A4" s="223"/>
      <c r="B4" s="223"/>
      <c r="C4" s="223"/>
      <c r="D4" s="223"/>
      <c r="E4" s="223"/>
    </row>
    <row r="5" spans="1:5" ht="39" thickBot="1">
      <c r="A5" s="9" t="s">
        <v>1</v>
      </c>
      <c r="B5" s="10" t="s">
        <v>2</v>
      </c>
      <c r="C5" s="13" t="s">
        <v>161</v>
      </c>
      <c r="D5" s="13" t="s">
        <v>3</v>
      </c>
      <c r="E5" s="20" t="s">
        <v>4</v>
      </c>
    </row>
    <row r="6" spans="1:5" ht="13.5" thickBot="1">
      <c r="A6" s="27">
        <v>1</v>
      </c>
      <c r="B6" s="6" t="s">
        <v>106</v>
      </c>
      <c r="C6" s="37">
        <f>D6/D80</f>
        <v>4.2934603646293468</v>
      </c>
      <c r="D6" s="16">
        <f t="shared" ref="D6:D69" si="0">E6/12</f>
        <v>106915.75</v>
      </c>
      <c r="E6" s="67">
        <v>1282989</v>
      </c>
    </row>
    <row r="7" spans="1:5" ht="13.5" thickBot="1">
      <c r="A7" s="27">
        <v>2</v>
      </c>
      <c r="B7" s="6" t="s">
        <v>117</v>
      </c>
      <c r="C7" s="37">
        <f>D7/D80</f>
        <v>0.6812705806762509</v>
      </c>
      <c r="D7" s="16">
        <f t="shared" si="0"/>
        <v>16965</v>
      </c>
      <c r="E7" s="67">
        <v>203580</v>
      </c>
    </row>
    <row r="8" spans="1:5" ht="13.5" thickBot="1">
      <c r="A8" s="27">
        <v>3</v>
      </c>
      <c r="B8" s="6" t="s">
        <v>118</v>
      </c>
      <c r="C8" s="37">
        <f>D8/D80</f>
        <v>1.7402230075228229</v>
      </c>
      <c r="D8" s="16">
        <f t="shared" si="0"/>
        <v>43335.033333333333</v>
      </c>
      <c r="E8" s="67">
        <v>520020.4</v>
      </c>
    </row>
    <row r="9" spans="1:5" ht="13.5" thickBot="1">
      <c r="A9" s="27">
        <v>4</v>
      </c>
      <c r="B9" s="6" t="s">
        <v>105</v>
      </c>
      <c r="C9" s="37">
        <f>D9/D80</f>
        <v>0.13385805691644581</v>
      </c>
      <c r="D9" s="16">
        <f t="shared" si="0"/>
        <v>3333.3333333333335</v>
      </c>
      <c r="E9" s="67">
        <v>40000</v>
      </c>
    </row>
    <row r="10" spans="1:5">
      <c r="A10" s="147">
        <v>5</v>
      </c>
      <c r="B10" s="7" t="s">
        <v>5</v>
      </c>
      <c r="C10" s="38">
        <f>D10/D80</f>
        <v>3.0118062806200305E-2</v>
      </c>
      <c r="D10" s="17">
        <f t="shared" si="0"/>
        <v>750</v>
      </c>
      <c r="E10" s="68">
        <f>E11+E12</f>
        <v>9000</v>
      </c>
    </row>
    <row r="11" spans="1:5">
      <c r="A11" s="32" t="s">
        <v>45</v>
      </c>
      <c r="B11" s="44" t="s">
        <v>96</v>
      </c>
      <c r="C11" s="45">
        <f>D11/D80</f>
        <v>2.3425159960378018E-2</v>
      </c>
      <c r="D11" s="48">
        <f t="shared" si="0"/>
        <v>583.33333333333337</v>
      </c>
      <c r="E11" s="50">
        <v>7000</v>
      </c>
    </row>
    <row r="12" spans="1:5" ht="13.5" thickBot="1">
      <c r="A12" s="32" t="s">
        <v>46</v>
      </c>
      <c r="B12" s="53" t="s">
        <v>6</v>
      </c>
      <c r="C12" s="54">
        <f>D12/D80</f>
        <v>6.6929028458222895E-3</v>
      </c>
      <c r="D12" s="49">
        <f t="shared" si="0"/>
        <v>166.66666666666666</v>
      </c>
      <c r="E12" s="69">
        <v>2000</v>
      </c>
    </row>
    <row r="13" spans="1:5">
      <c r="A13" s="28" t="s">
        <v>107</v>
      </c>
      <c r="B13" s="7" t="s">
        <v>7</v>
      </c>
      <c r="C13" s="38">
        <f>D13/D80</f>
        <v>0.15393676545391269</v>
      </c>
      <c r="D13" s="17">
        <f t="shared" si="0"/>
        <v>3833.3333333333335</v>
      </c>
      <c r="E13" s="68">
        <f>SUM(E14:E15)</f>
        <v>46000</v>
      </c>
    </row>
    <row r="14" spans="1:5">
      <c r="A14" s="32" t="s">
        <v>131</v>
      </c>
      <c r="B14" s="71" t="s">
        <v>8</v>
      </c>
      <c r="C14" s="45">
        <f>D14/D80</f>
        <v>0.12047225122480122</v>
      </c>
      <c r="D14" s="48">
        <f t="shared" si="0"/>
        <v>3000</v>
      </c>
      <c r="E14" s="50">
        <v>36000</v>
      </c>
    </row>
    <row r="15" spans="1:5">
      <c r="A15" s="32" t="s">
        <v>132</v>
      </c>
      <c r="B15" s="44" t="s">
        <v>9</v>
      </c>
      <c r="C15" s="45">
        <f>D15/D80</f>
        <v>3.3464514229111453E-2</v>
      </c>
      <c r="D15" s="48">
        <f t="shared" si="0"/>
        <v>833.33333333333337</v>
      </c>
      <c r="E15" s="50">
        <f>E16+E17</f>
        <v>10000</v>
      </c>
    </row>
    <row r="16" spans="1:5">
      <c r="A16" s="30" t="s">
        <v>133</v>
      </c>
      <c r="B16" s="3" t="s">
        <v>10</v>
      </c>
      <c r="C16" s="39"/>
      <c r="D16" s="18">
        <f t="shared" si="0"/>
        <v>250</v>
      </c>
      <c r="E16" s="83">
        <v>3000</v>
      </c>
    </row>
    <row r="17" spans="1:5" ht="13.5" thickBot="1">
      <c r="A17" s="31" t="s">
        <v>134</v>
      </c>
      <c r="B17" s="4" t="s">
        <v>71</v>
      </c>
      <c r="C17" s="40"/>
      <c r="D17" s="19">
        <f t="shared" si="0"/>
        <v>583.33333333333337</v>
      </c>
      <c r="E17" s="84">
        <v>7000</v>
      </c>
    </row>
    <row r="18" spans="1:5" ht="13.5" thickBot="1">
      <c r="A18" s="29" t="s">
        <v>108</v>
      </c>
      <c r="B18" s="6" t="s">
        <v>11</v>
      </c>
      <c r="C18" s="37">
        <f>D18/D80</f>
        <v>1.6732257114555726E-2</v>
      </c>
      <c r="D18" s="16">
        <f t="shared" si="0"/>
        <v>416.66666666666669</v>
      </c>
      <c r="E18" s="67">
        <v>5000</v>
      </c>
    </row>
    <row r="19" spans="1:5">
      <c r="A19" s="28" t="s">
        <v>109</v>
      </c>
      <c r="B19" s="7" t="s">
        <v>69</v>
      </c>
      <c r="C19" s="38">
        <f>D19/D80</f>
        <v>0.14356276604288812</v>
      </c>
      <c r="D19" s="17">
        <f t="shared" si="0"/>
        <v>3575</v>
      </c>
      <c r="E19" s="68">
        <f>SUM(E20:E22)</f>
        <v>42900</v>
      </c>
    </row>
    <row r="20" spans="1:5">
      <c r="A20" s="32" t="s">
        <v>47</v>
      </c>
      <c r="B20" s="44" t="s">
        <v>88</v>
      </c>
      <c r="C20" s="45">
        <f>D20/D80</f>
        <v>5.0196771343667172E-2</v>
      </c>
      <c r="D20" s="48">
        <f t="shared" si="0"/>
        <v>1250</v>
      </c>
      <c r="E20" s="50">
        <v>15000</v>
      </c>
    </row>
    <row r="21" spans="1:5">
      <c r="A21" s="32" t="s">
        <v>48</v>
      </c>
      <c r="B21" s="44" t="s">
        <v>72</v>
      </c>
      <c r="C21" s="45">
        <f>D21/D80</f>
        <v>2.007870853746687E-2</v>
      </c>
      <c r="D21" s="48">
        <f t="shared" si="0"/>
        <v>500</v>
      </c>
      <c r="E21" s="50">
        <v>6000</v>
      </c>
    </row>
    <row r="22" spans="1:5">
      <c r="A22" s="32" t="s">
        <v>49</v>
      </c>
      <c r="B22" s="44" t="s">
        <v>68</v>
      </c>
      <c r="C22" s="45">
        <f>D22/D80</f>
        <v>7.3287286161754076E-2</v>
      </c>
      <c r="D22" s="48">
        <f t="shared" si="0"/>
        <v>1825</v>
      </c>
      <c r="E22" s="50">
        <f>SUM(E23:E25)</f>
        <v>21900</v>
      </c>
    </row>
    <row r="23" spans="1:5">
      <c r="A23" s="30" t="s">
        <v>135</v>
      </c>
      <c r="B23" s="3" t="s">
        <v>70</v>
      </c>
      <c r="C23" s="39"/>
      <c r="D23" s="18">
        <f t="shared" si="0"/>
        <v>75</v>
      </c>
      <c r="E23" s="83">
        <v>900</v>
      </c>
    </row>
    <row r="24" spans="1:5">
      <c r="A24" s="30" t="s">
        <v>136</v>
      </c>
      <c r="B24" s="77" t="s">
        <v>94</v>
      </c>
      <c r="C24" s="78"/>
      <c r="D24" s="79">
        <f t="shared" si="0"/>
        <v>500</v>
      </c>
      <c r="E24" s="85">
        <v>6000</v>
      </c>
    </row>
    <row r="25" spans="1:5" ht="13.5" thickBot="1">
      <c r="A25" s="30" t="s">
        <v>137</v>
      </c>
      <c r="B25" s="77" t="s">
        <v>93</v>
      </c>
      <c r="C25" s="78"/>
      <c r="D25" s="79">
        <f t="shared" si="0"/>
        <v>1250</v>
      </c>
      <c r="E25" s="85">
        <v>15000</v>
      </c>
    </row>
    <row r="26" spans="1:5">
      <c r="A26" s="28" t="s">
        <v>110</v>
      </c>
      <c r="B26" s="7" t="s">
        <v>12</v>
      </c>
      <c r="C26" s="38">
        <f>D26/D80</f>
        <v>8.7007736995689769E-2</v>
      </c>
      <c r="D26" s="17">
        <f t="shared" si="0"/>
        <v>2166.6666666666665</v>
      </c>
      <c r="E26" s="68">
        <f>SUM(E27:E31)</f>
        <v>26000</v>
      </c>
    </row>
    <row r="27" spans="1:5">
      <c r="A27" s="32" t="s">
        <v>50</v>
      </c>
      <c r="B27" s="44" t="s">
        <v>13</v>
      </c>
      <c r="C27" s="45">
        <f>D27/D80</f>
        <v>1.6732257114555726E-2</v>
      </c>
      <c r="D27" s="48">
        <f t="shared" si="0"/>
        <v>416.66666666666669</v>
      </c>
      <c r="E27" s="50">
        <v>5000</v>
      </c>
    </row>
    <row r="28" spans="1:5">
      <c r="A28" s="32" t="s">
        <v>51</v>
      </c>
      <c r="B28" s="44" t="s">
        <v>14</v>
      </c>
      <c r="C28" s="45">
        <f>D28/D80</f>
        <v>2.007870853746687E-2</v>
      </c>
      <c r="D28" s="48">
        <f t="shared" si="0"/>
        <v>500</v>
      </c>
      <c r="E28" s="50">
        <v>6000</v>
      </c>
    </row>
    <row r="29" spans="1:5">
      <c r="A29" s="32" t="s">
        <v>52</v>
      </c>
      <c r="B29" s="44" t="s">
        <v>15</v>
      </c>
      <c r="C29" s="45">
        <f>D29/D80</f>
        <v>2.007870853746687E-2</v>
      </c>
      <c r="D29" s="48">
        <f t="shared" si="0"/>
        <v>500</v>
      </c>
      <c r="E29" s="50">
        <v>6000</v>
      </c>
    </row>
    <row r="30" spans="1:5">
      <c r="A30" s="32" t="s">
        <v>53</v>
      </c>
      <c r="B30" s="44" t="s">
        <v>16</v>
      </c>
      <c r="C30" s="45">
        <f>D30/D80</f>
        <v>3.3464514229111448E-3</v>
      </c>
      <c r="D30" s="48">
        <f t="shared" si="0"/>
        <v>83.333333333333329</v>
      </c>
      <c r="E30" s="50">
        <v>1000</v>
      </c>
    </row>
    <row r="31" spans="1:5" ht="13.5" thickBot="1">
      <c r="A31" s="33" t="s">
        <v>54</v>
      </c>
      <c r="B31" s="53" t="s">
        <v>84</v>
      </c>
      <c r="C31" s="54">
        <f>D31/D80</f>
        <v>2.6771611383289158E-2</v>
      </c>
      <c r="D31" s="49">
        <f t="shared" si="0"/>
        <v>666.66666666666663</v>
      </c>
      <c r="E31" s="69">
        <v>8000</v>
      </c>
    </row>
    <row r="32" spans="1:5" ht="25.5">
      <c r="A32" s="28" t="s">
        <v>111</v>
      </c>
      <c r="B32" s="8" t="s">
        <v>17</v>
      </c>
      <c r="C32" s="42">
        <f>D32/D80</f>
        <v>0.95005755896447397</v>
      </c>
      <c r="D32" s="43">
        <f t="shared" si="0"/>
        <v>23658.333333333332</v>
      </c>
      <c r="E32" s="86">
        <f>SUM(E33:E45)</f>
        <v>283900</v>
      </c>
    </row>
    <row r="33" spans="1:5">
      <c r="A33" s="32" t="s">
        <v>56</v>
      </c>
      <c r="B33" s="44" t="s">
        <v>99</v>
      </c>
      <c r="C33" s="45">
        <f>D33/D80</f>
        <v>4.8188900489920486E-2</v>
      </c>
      <c r="D33" s="48">
        <f t="shared" si="0"/>
        <v>1200</v>
      </c>
      <c r="E33" s="50">
        <v>14400</v>
      </c>
    </row>
    <row r="34" spans="1:5">
      <c r="A34" s="32" t="s">
        <v>57</v>
      </c>
      <c r="B34" s="80" t="s">
        <v>55</v>
      </c>
      <c r="C34" s="45">
        <f>D34/D80</f>
        <v>0.16732257114555726</v>
      </c>
      <c r="D34" s="48">
        <f t="shared" si="0"/>
        <v>4166.666666666667</v>
      </c>
      <c r="E34" s="50">
        <v>50000</v>
      </c>
    </row>
    <row r="35" spans="1:5">
      <c r="A35" s="32" t="s">
        <v>58</v>
      </c>
      <c r="B35" s="81" t="s">
        <v>18</v>
      </c>
      <c r="C35" s="45">
        <f>D35/D80</f>
        <v>0.10039354268733434</v>
      </c>
      <c r="D35" s="48">
        <f t="shared" si="0"/>
        <v>2500</v>
      </c>
      <c r="E35" s="50">
        <v>30000</v>
      </c>
    </row>
    <row r="36" spans="1:5">
      <c r="A36" s="32" t="s">
        <v>73</v>
      </c>
      <c r="B36" s="44" t="s">
        <v>19</v>
      </c>
      <c r="C36" s="45">
        <f>D36/D80</f>
        <v>0.10039354268733434</v>
      </c>
      <c r="D36" s="48">
        <f t="shared" si="0"/>
        <v>2500</v>
      </c>
      <c r="E36" s="50">
        <v>30000</v>
      </c>
    </row>
    <row r="37" spans="1:5">
      <c r="A37" s="32" t="s">
        <v>75</v>
      </c>
      <c r="B37" s="44" t="s">
        <v>20</v>
      </c>
      <c r="C37" s="45">
        <f>D37/D80</f>
        <v>2.007870853746687E-2</v>
      </c>
      <c r="D37" s="48">
        <f t="shared" si="0"/>
        <v>500</v>
      </c>
      <c r="E37" s="50">
        <v>6000</v>
      </c>
    </row>
    <row r="38" spans="1:5">
      <c r="A38" s="32" t="s">
        <v>79</v>
      </c>
      <c r="B38" s="44" t="s">
        <v>100</v>
      </c>
      <c r="C38" s="45">
        <f>D38/D83</f>
        <v>22.727269961610727</v>
      </c>
      <c r="D38" s="48">
        <f t="shared" si="0"/>
        <v>250</v>
      </c>
      <c r="E38" s="50">
        <v>3000</v>
      </c>
    </row>
    <row r="39" spans="1:5">
      <c r="A39" s="32" t="s">
        <v>82</v>
      </c>
      <c r="B39" s="44" t="s">
        <v>101</v>
      </c>
      <c r="C39" s="45">
        <f>D39/D83</f>
        <v>22.727269961610727</v>
      </c>
      <c r="D39" s="48">
        <f t="shared" si="0"/>
        <v>250</v>
      </c>
      <c r="E39" s="50">
        <v>3000</v>
      </c>
    </row>
    <row r="40" spans="1:5">
      <c r="A40" s="32" t="s">
        <v>103</v>
      </c>
      <c r="B40" s="44" t="s">
        <v>21</v>
      </c>
      <c r="C40" s="45">
        <f>D40/D80</f>
        <v>4.0157417074933741E-2</v>
      </c>
      <c r="D40" s="48">
        <f t="shared" si="0"/>
        <v>1000</v>
      </c>
      <c r="E40" s="50">
        <v>12000</v>
      </c>
    </row>
    <row r="41" spans="1:5">
      <c r="A41" s="32" t="s">
        <v>138</v>
      </c>
      <c r="B41" s="44" t="s">
        <v>22</v>
      </c>
      <c r="C41" s="45">
        <f>D41/D80</f>
        <v>2.6771611383289158E-2</v>
      </c>
      <c r="D41" s="48">
        <f t="shared" si="0"/>
        <v>666.66666666666663</v>
      </c>
      <c r="E41" s="50">
        <v>8000</v>
      </c>
    </row>
    <row r="42" spans="1:5">
      <c r="A42" s="32" t="s">
        <v>139</v>
      </c>
      <c r="B42" s="44" t="s">
        <v>81</v>
      </c>
      <c r="C42" s="45">
        <f>D42/D80</f>
        <v>0.12047225122480122</v>
      </c>
      <c r="D42" s="48">
        <f t="shared" si="0"/>
        <v>3000</v>
      </c>
      <c r="E42" s="50">
        <v>36000</v>
      </c>
    </row>
    <row r="43" spans="1:5">
      <c r="A43" s="32" t="s">
        <v>140</v>
      </c>
      <c r="B43" s="71" t="s">
        <v>78</v>
      </c>
      <c r="C43" s="45">
        <f>D43/D80</f>
        <v>0.12716515407062351</v>
      </c>
      <c r="D43" s="48">
        <f t="shared" si="0"/>
        <v>3166.6666666666665</v>
      </c>
      <c r="E43" s="50">
        <v>38000</v>
      </c>
    </row>
    <row r="44" spans="1:5">
      <c r="A44" s="32" t="s">
        <v>141</v>
      </c>
      <c r="B44" s="44" t="s">
        <v>23</v>
      </c>
      <c r="C44" s="45">
        <f>D44/D80</f>
        <v>9.5373865552967632E-2</v>
      </c>
      <c r="D44" s="48">
        <f t="shared" si="0"/>
        <v>2375</v>
      </c>
      <c r="E44" s="50">
        <v>28500</v>
      </c>
    </row>
    <row r="45" spans="1:5" ht="13.5" thickBot="1">
      <c r="A45" s="32" t="s">
        <v>142</v>
      </c>
      <c r="B45" s="58" t="s">
        <v>90</v>
      </c>
      <c r="C45" s="150">
        <f>D45/D80</f>
        <v>8.3661285572778632E-2</v>
      </c>
      <c r="D45" s="48">
        <f t="shared" si="0"/>
        <v>2083.3333333333335</v>
      </c>
      <c r="E45" s="50">
        <v>25000</v>
      </c>
    </row>
    <row r="46" spans="1:5">
      <c r="A46" s="28" t="s">
        <v>112</v>
      </c>
      <c r="B46" s="7" t="s">
        <v>102</v>
      </c>
      <c r="C46" s="38">
        <f>D46/D80</f>
        <v>1.5494070088078602</v>
      </c>
      <c r="D46" s="17">
        <f t="shared" si="0"/>
        <v>38583.333333333336</v>
      </c>
      <c r="E46" s="68">
        <f>SUM(E47:E54)</f>
        <v>463000</v>
      </c>
    </row>
    <row r="47" spans="1:5">
      <c r="A47" s="32" t="s">
        <v>59</v>
      </c>
      <c r="B47" s="44" t="s">
        <v>80</v>
      </c>
      <c r="C47" s="45">
        <f>D47/D80</f>
        <v>6.6929028458222906E-2</v>
      </c>
      <c r="D47" s="48">
        <f t="shared" si="0"/>
        <v>1666.6666666666667</v>
      </c>
      <c r="E47" s="50">
        <v>20000</v>
      </c>
    </row>
    <row r="48" spans="1:5">
      <c r="A48" s="32" t="s">
        <v>60</v>
      </c>
      <c r="B48" s="44" t="s">
        <v>87</v>
      </c>
      <c r="C48" s="45">
        <f>D48/D80</f>
        <v>0.20078708537466869</v>
      </c>
      <c r="D48" s="48">
        <f t="shared" si="0"/>
        <v>5000</v>
      </c>
      <c r="E48" s="50">
        <v>60000</v>
      </c>
    </row>
    <row r="49" spans="1:5">
      <c r="A49" s="32" t="s">
        <v>61</v>
      </c>
      <c r="B49" s="44" t="s">
        <v>77</v>
      </c>
      <c r="C49" s="45">
        <f>D49/D80</f>
        <v>0</v>
      </c>
      <c r="D49" s="48">
        <f t="shared" si="0"/>
        <v>0</v>
      </c>
      <c r="E49" s="50">
        <v>0</v>
      </c>
    </row>
    <row r="50" spans="1:5">
      <c r="A50" s="32" t="s">
        <v>62</v>
      </c>
      <c r="B50" s="44" t="s">
        <v>25</v>
      </c>
      <c r="C50" s="45">
        <f>D50/D80</f>
        <v>8.3661285572778632E-2</v>
      </c>
      <c r="D50" s="48">
        <f t="shared" si="0"/>
        <v>2083.3333333333335</v>
      </c>
      <c r="E50" s="50">
        <v>25000</v>
      </c>
    </row>
    <row r="51" spans="1:5">
      <c r="A51" s="32" t="s">
        <v>63</v>
      </c>
      <c r="B51" s="71" t="s">
        <v>76</v>
      </c>
      <c r="C51" s="45">
        <f>D51/D80</f>
        <v>1.6732257114555726E-2</v>
      </c>
      <c r="D51" s="48">
        <f t="shared" si="0"/>
        <v>416.66666666666669</v>
      </c>
      <c r="E51" s="50">
        <v>5000</v>
      </c>
    </row>
    <row r="52" spans="1:5">
      <c r="A52" s="32" t="s">
        <v>64</v>
      </c>
      <c r="B52" s="44" t="s">
        <v>130</v>
      </c>
      <c r="C52" s="45">
        <f>D52/D80</f>
        <v>0.28444837094744729</v>
      </c>
      <c r="D52" s="48">
        <f>E52/12</f>
        <v>7083.333333333333</v>
      </c>
      <c r="E52" s="50">
        <v>85000</v>
      </c>
    </row>
    <row r="53" spans="1:5">
      <c r="A53" s="32" t="s">
        <v>65</v>
      </c>
      <c r="B53" s="44" t="s">
        <v>85</v>
      </c>
      <c r="C53" s="45">
        <f>D53/D80</f>
        <v>2.6771611383289158E-2</v>
      </c>
      <c r="D53" s="48">
        <f>E53/12</f>
        <v>666.66666666666663</v>
      </c>
      <c r="E53" s="50">
        <v>8000</v>
      </c>
    </row>
    <row r="54" spans="1:5" ht="13.5" thickBot="1">
      <c r="A54" s="32" t="s">
        <v>66</v>
      </c>
      <c r="B54" s="44" t="s">
        <v>121</v>
      </c>
      <c r="C54" s="45">
        <f>D54/D80</f>
        <v>0.87007736995689777</v>
      </c>
      <c r="D54" s="48">
        <f>E54/12</f>
        <v>21666.666666666668</v>
      </c>
      <c r="E54" s="50">
        <v>260000</v>
      </c>
    </row>
    <row r="55" spans="1:5">
      <c r="A55" s="28" t="s">
        <v>113</v>
      </c>
      <c r="B55" s="7" t="s">
        <v>127</v>
      </c>
      <c r="C55" s="38">
        <f>D55/D80</f>
        <v>4.6150208818568785</v>
      </c>
      <c r="D55" s="17">
        <f t="shared" si="0"/>
        <v>114923.25</v>
      </c>
      <c r="E55" s="68">
        <f>SUM(E56:E72)</f>
        <v>1379079</v>
      </c>
    </row>
    <row r="56" spans="1:5">
      <c r="A56" s="32" t="s">
        <v>143</v>
      </c>
      <c r="B56" s="44" t="s">
        <v>95</v>
      </c>
      <c r="C56" s="45">
        <f>D56/D80</f>
        <v>8.3661285572778632E-2</v>
      </c>
      <c r="D56" s="48">
        <f t="shared" si="0"/>
        <v>2083.3333333333335</v>
      </c>
      <c r="E56" s="50">
        <v>25000</v>
      </c>
    </row>
    <row r="57" spans="1:5">
      <c r="A57" s="32" t="s">
        <v>144</v>
      </c>
      <c r="B57" s="71" t="s">
        <v>91</v>
      </c>
      <c r="C57" s="45">
        <f>D57/D80</f>
        <v>0.26771611383289162</v>
      </c>
      <c r="D57" s="48">
        <f t="shared" si="0"/>
        <v>6666.666666666667</v>
      </c>
      <c r="E57" s="50">
        <v>80000</v>
      </c>
    </row>
    <row r="58" spans="1:5">
      <c r="A58" s="32" t="s">
        <v>145</v>
      </c>
      <c r="B58" s="44" t="s">
        <v>122</v>
      </c>
      <c r="C58" s="45">
        <f>D58/D80</f>
        <v>0.10039354268733434</v>
      </c>
      <c r="D58" s="48">
        <f t="shared" si="0"/>
        <v>2500</v>
      </c>
      <c r="E58" s="50">
        <v>30000</v>
      </c>
    </row>
    <row r="59" spans="1:5">
      <c r="A59" s="32" t="s">
        <v>146</v>
      </c>
      <c r="B59" s="44" t="s">
        <v>125</v>
      </c>
      <c r="C59" s="45">
        <f>D59/D80</f>
        <v>6.0236125612400611E-2</v>
      </c>
      <c r="D59" s="48">
        <f t="shared" si="0"/>
        <v>1500</v>
      </c>
      <c r="E59" s="50">
        <v>18000</v>
      </c>
    </row>
    <row r="60" spans="1:5">
      <c r="A60" s="32" t="s">
        <v>147</v>
      </c>
      <c r="B60" s="71" t="s">
        <v>123</v>
      </c>
      <c r="C60" s="45">
        <f>D60/D80</f>
        <v>0.53543222766578324</v>
      </c>
      <c r="D60" s="48">
        <f t="shared" si="0"/>
        <v>13333.333333333334</v>
      </c>
      <c r="E60" s="50">
        <v>160000</v>
      </c>
    </row>
    <row r="61" spans="1:5">
      <c r="A61" s="32" t="s">
        <v>148</v>
      </c>
      <c r="B61" s="71" t="s">
        <v>160</v>
      </c>
      <c r="C61" s="45">
        <f>D61/D80</f>
        <v>0.33464514229111453</v>
      </c>
      <c r="D61" s="48">
        <f t="shared" si="0"/>
        <v>8333.3333333333339</v>
      </c>
      <c r="E61" s="50">
        <v>100000</v>
      </c>
    </row>
    <row r="62" spans="1:5">
      <c r="A62" s="32" t="s">
        <v>149</v>
      </c>
      <c r="B62" s="44" t="s">
        <v>74</v>
      </c>
      <c r="C62" s="45">
        <f>D62/D80</f>
        <v>1.3385805691644579E-2</v>
      </c>
      <c r="D62" s="48">
        <f t="shared" si="0"/>
        <v>333.33333333333331</v>
      </c>
      <c r="E62" s="50">
        <v>4000</v>
      </c>
    </row>
    <row r="63" spans="1:5">
      <c r="A63" s="32" t="s">
        <v>150</v>
      </c>
      <c r="B63" s="71" t="s">
        <v>98</v>
      </c>
      <c r="C63" s="45">
        <f>D63/D80</f>
        <v>2.8110191952453619E-2</v>
      </c>
      <c r="D63" s="48">
        <f t="shared" si="0"/>
        <v>700</v>
      </c>
      <c r="E63" s="50">
        <v>8400</v>
      </c>
    </row>
    <row r="64" spans="1:5">
      <c r="A64" s="32" t="s">
        <v>151</v>
      </c>
      <c r="B64" s="44" t="s">
        <v>97</v>
      </c>
      <c r="C64" s="45">
        <f>D64/D80</f>
        <v>0.10708644553315663</v>
      </c>
      <c r="D64" s="48">
        <f t="shared" si="0"/>
        <v>2666.6666666666665</v>
      </c>
      <c r="E64" s="50">
        <v>32000</v>
      </c>
    </row>
    <row r="65" spans="1:5">
      <c r="A65" s="32" t="s">
        <v>152</v>
      </c>
      <c r="B65" s="44" t="s">
        <v>83</v>
      </c>
      <c r="C65" s="45">
        <f>D65/D80</f>
        <v>2.6771611383289158E-2</v>
      </c>
      <c r="D65" s="48">
        <f t="shared" si="0"/>
        <v>666.66666666666663</v>
      </c>
      <c r="E65" s="50">
        <v>8000</v>
      </c>
    </row>
    <row r="66" spans="1:5">
      <c r="A66" s="32" t="s">
        <v>153</v>
      </c>
      <c r="B66" s="51" t="s">
        <v>126</v>
      </c>
      <c r="C66" s="45">
        <f>D66/D80</f>
        <v>8.3661285572778632E-2</v>
      </c>
      <c r="D66" s="52">
        <f t="shared" si="0"/>
        <v>2083.3333333333335</v>
      </c>
      <c r="E66" s="87">
        <v>25000</v>
      </c>
    </row>
    <row r="67" spans="1:5">
      <c r="A67" s="32" t="s">
        <v>154</v>
      </c>
      <c r="B67" s="51" t="s">
        <v>86</v>
      </c>
      <c r="C67" s="45">
        <f>D67/D80</f>
        <v>0.21751934248922444</v>
      </c>
      <c r="D67" s="52">
        <f t="shared" si="0"/>
        <v>5416.666666666667</v>
      </c>
      <c r="E67" s="87">
        <v>65000</v>
      </c>
    </row>
    <row r="68" spans="1:5">
      <c r="A68" s="32" t="s">
        <v>155</v>
      </c>
      <c r="B68" s="80" t="s">
        <v>24</v>
      </c>
      <c r="C68" s="108">
        <f>D68/D80</f>
        <v>2.3425159960378018E-2</v>
      </c>
      <c r="D68" s="109">
        <f t="shared" si="0"/>
        <v>583.33333333333337</v>
      </c>
      <c r="E68" s="110">
        <v>7000</v>
      </c>
    </row>
    <row r="69" spans="1:5">
      <c r="A69" s="32" t="s">
        <v>156</v>
      </c>
      <c r="B69" s="111" t="s">
        <v>124</v>
      </c>
      <c r="C69" s="112">
        <f>D69/D80</f>
        <v>0.93700639841512057</v>
      </c>
      <c r="D69" s="113">
        <f t="shared" si="0"/>
        <v>23333.333333333332</v>
      </c>
      <c r="E69" s="142">
        <v>280000</v>
      </c>
    </row>
    <row r="70" spans="1:5">
      <c r="A70" s="32" t="s">
        <v>157</v>
      </c>
      <c r="B70" s="111" t="s">
        <v>129</v>
      </c>
      <c r="C70" s="112">
        <f>D70/D80</f>
        <v>1.6397611972264612</v>
      </c>
      <c r="D70" s="113">
        <f t="shared" ref="D70:D78" si="1">E70/12</f>
        <v>40833.333333333336</v>
      </c>
      <c r="E70" s="142">
        <v>490000</v>
      </c>
    </row>
    <row r="71" spans="1:5">
      <c r="A71" s="32" t="s">
        <v>158</v>
      </c>
      <c r="B71" s="144" t="s">
        <v>128</v>
      </c>
      <c r="C71" s="149">
        <f>D71/D80</f>
        <v>0.13613029743260247</v>
      </c>
      <c r="D71" s="145">
        <f t="shared" si="1"/>
        <v>3389.9166666666665</v>
      </c>
      <c r="E71" s="142">
        <v>40679</v>
      </c>
    </row>
    <row r="72" spans="1:5" ht="13.5" thickBot="1">
      <c r="A72" s="32" t="s">
        <v>159</v>
      </c>
      <c r="B72" s="71" t="s">
        <v>104</v>
      </c>
      <c r="C72" s="104">
        <f>D72/D80</f>
        <v>2.007870853746687E-2</v>
      </c>
      <c r="D72" s="105">
        <f t="shared" si="1"/>
        <v>500</v>
      </c>
      <c r="E72" s="146">
        <v>6000</v>
      </c>
    </row>
    <row r="73" spans="1:5" ht="13.5" thickBot="1">
      <c r="A73" s="27">
        <v>13</v>
      </c>
      <c r="B73" s="5" t="s">
        <v>92</v>
      </c>
      <c r="C73" s="41">
        <f>D73/D80</f>
        <v>0</v>
      </c>
      <c r="D73" s="16">
        <f t="shared" si="1"/>
        <v>0</v>
      </c>
      <c r="E73" s="67">
        <v>0</v>
      </c>
    </row>
    <row r="74" spans="1:5" ht="13.5" thickBot="1">
      <c r="A74" s="27">
        <v>14</v>
      </c>
      <c r="B74" s="6" t="s">
        <v>26</v>
      </c>
      <c r="C74" s="37">
        <f>D74/D80</f>
        <v>3.3464514229111453E-2</v>
      </c>
      <c r="D74" s="16">
        <f t="shared" si="1"/>
        <v>833.33333333333337</v>
      </c>
      <c r="E74" s="67">
        <v>10000</v>
      </c>
    </row>
    <row r="75" spans="1:5" ht="13.5" thickBot="1">
      <c r="A75" s="61">
        <v>15</v>
      </c>
      <c r="B75" s="62" t="s">
        <v>119</v>
      </c>
      <c r="C75" s="88">
        <f>D75/D80</f>
        <v>1.350293149144647</v>
      </c>
      <c r="D75" s="60">
        <f t="shared" si="1"/>
        <v>33625</v>
      </c>
      <c r="E75" s="63">
        <v>403500</v>
      </c>
    </row>
    <row r="76" spans="1:5" ht="13.5" thickBot="1">
      <c r="A76" s="151">
        <v>16</v>
      </c>
      <c r="B76" s="152" t="s">
        <v>120</v>
      </c>
      <c r="C76" s="153">
        <f>D76/D80</f>
        <v>8.1017588948678818E-2</v>
      </c>
      <c r="D76" s="154">
        <f t="shared" si="1"/>
        <v>2017.5</v>
      </c>
      <c r="E76" s="155">
        <v>24210</v>
      </c>
    </row>
    <row r="77" spans="1:5" ht="13.5" thickBot="1">
      <c r="A77" s="61">
        <v>17</v>
      </c>
      <c r="B77" s="62" t="s">
        <v>114</v>
      </c>
      <c r="C77" s="59">
        <f>D77/D80</f>
        <v>2.1588426632399003</v>
      </c>
      <c r="D77" s="60">
        <f t="shared" si="1"/>
        <v>53759.5</v>
      </c>
      <c r="E77" s="63">
        <v>645114</v>
      </c>
    </row>
    <row r="78" spans="1:5" ht="13.5" thickBot="1">
      <c r="A78" s="224" t="s">
        <v>27</v>
      </c>
      <c r="B78" s="225"/>
      <c r="C78" s="64">
        <f>D78/D80</f>
        <v>11.000001338580571</v>
      </c>
      <c r="D78" s="65">
        <f t="shared" si="1"/>
        <v>273922.03333333338</v>
      </c>
      <c r="E78" s="66">
        <f>E6+E7+E8+E9+E10+E13+E18+E19+E26+E32+E46+E55+E73+E74-E75+E76-E77</f>
        <v>3287064.4000000004</v>
      </c>
    </row>
    <row r="79" spans="1:5">
      <c r="A79" s="11"/>
      <c r="B79" s="11"/>
      <c r="C79" s="11"/>
      <c r="D79" s="11"/>
      <c r="E79" s="11"/>
    </row>
    <row r="80" spans="1:5">
      <c r="A80" s="126" t="s">
        <v>28</v>
      </c>
      <c r="B80" s="126"/>
      <c r="C80" s="35"/>
      <c r="D80" s="1">
        <v>24902</v>
      </c>
      <c r="E80" s="2" t="s">
        <v>29</v>
      </c>
    </row>
    <row r="81" spans="1:5">
      <c r="A81" s="11"/>
      <c r="B81" s="11"/>
      <c r="C81" s="11"/>
      <c r="D81" s="11"/>
      <c r="E81" s="11"/>
    </row>
    <row r="82" spans="1:5">
      <c r="A82" s="217" t="s">
        <v>115</v>
      </c>
      <c r="B82" s="217"/>
      <c r="C82" s="34"/>
    </row>
    <row r="83" spans="1:5">
      <c r="A83" s="217" t="s">
        <v>30</v>
      </c>
      <c r="B83" s="217"/>
      <c r="C83" s="34"/>
      <c r="D83" s="36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honeticPr fontId="4" type="noConversion"/>
  <pageMargins left="0.78740157480314965" right="0" top="0.19685039370078741" bottom="0.19685039370078741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Лист1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2016-01-19T08:41:01Z</cp:lastPrinted>
  <dcterms:created xsi:type="dcterms:W3CDTF">2010-12-02T20:37:32Z</dcterms:created>
  <dcterms:modified xsi:type="dcterms:W3CDTF">2016-01-19T08:49:24Z</dcterms:modified>
</cp:coreProperties>
</file>