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0" windowWidth="15480" windowHeight="7470"/>
  </bookViews>
  <sheets>
    <sheet name="Смета" sheetId="1" r:id="rId1"/>
    <sheet name="Лист1" sheetId="7" r:id="rId2"/>
  </sheets>
  <definedNames>
    <definedName name="OLE_LINK3" localSheetId="0">Смета!$K$75</definedName>
    <definedName name="_xlnm.Print_Area" localSheetId="0">Смета!$A$1:$U$85</definedName>
  </definedNames>
  <calcPr calcId="125725" refMode="R1C1"/>
</workbook>
</file>

<file path=xl/calcChain.xml><?xml version="1.0" encoding="utf-8"?>
<calcChain xmlns="http://schemas.openxmlformats.org/spreadsheetml/2006/main">
  <c r="L63" i="1"/>
  <c r="L26"/>
  <c r="G80" l="1"/>
  <c r="R17"/>
  <c r="I17" l="1"/>
  <c r="R8" l="1"/>
  <c r="R58"/>
  <c r="R22"/>
  <c r="R18"/>
  <c r="R10"/>
  <c r="M26" l="1"/>
  <c r="N50"/>
  <c r="M50"/>
  <c r="L50"/>
  <c r="R50" l="1"/>
  <c r="M35" l="1"/>
  <c r="R5"/>
  <c r="P5"/>
  <c r="T5"/>
  <c r="U5" s="1"/>
  <c r="S8" l="1"/>
  <c r="M25" l="1"/>
  <c r="M24"/>
  <c r="R24"/>
  <c r="O45" l="1"/>
  <c r="Q18"/>
  <c r="R26"/>
  <c r="R45"/>
  <c r="S18"/>
  <c r="S10"/>
  <c r="S7" l="1"/>
  <c r="J6"/>
  <c r="R6"/>
  <c r="R7"/>
  <c r="Q5"/>
  <c r="P7"/>
  <c r="O5"/>
  <c r="O7"/>
  <c r="N5"/>
  <c r="N7"/>
  <c r="M5"/>
  <c r="M7"/>
  <c r="L5"/>
  <c r="L7"/>
  <c r="K5" l="1"/>
  <c r="K7"/>
  <c r="J7"/>
  <c r="J5"/>
  <c r="I5"/>
  <c r="I7"/>
  <c r="H45" l="1"/>
  <c r="H5"/>
  <c r="H39"/>
  <c r="H8"/>
  <c r="G5"/>
  <c r="G8"/>
  <c r="F60"/>
  <c r="F7"/>
  <c r="N30" l="1"/>
  <c r="H30"/>
  <c r="N21" l="1"/>
  <c r="Q46" l="1"/>
  <c r="Q8"/>
  <c r="Q39"/>
  <c r="Q10"/>
  <c r="Q7"/>
  <c r="P39"/>
  <c r="P8"/>
  <c r="O8" l="1"/>
  <c r="O50" l="1"/>
  <c r="K25" l="1"/>
  <c r="H7"/>
  <c r="P63"/>
  <c r="P64"/>
  <c r="P17" l="1"/>
  <c r="P10"/>
  <c r="Q22"/>
  <c r="P50"/>
  <c r="D7" l="1"/>
  <c r="N39" l="1"/>
  <c r="O10"/>
  <c r="N66"/>
  <c r="L66"/>
  <c r="L8"/>
  <c r="L29"/>
  <c r="N46"/>
  <c r="M46"/>
  <c r="K46"/>
  <c r="J46"/>
  <c r="I46"/>
  <c r="H46"/>
  <c r="G46"/>
  <c r="N24"/>
  <c r="I11"/>
  <c r="N45"/>
  <c r="N25"/>
  <c r="N18"/>
  <c r="N17"/>
  <c r="M45"/>
  <c r="M17"/>
  <c r="L45"/>
  <c r="L24"/>
  <c r="K50"/>
  <c r="K48"/>
  <c r="K45"/>
  <c r="K26"/>
  <c r="K22"/>
  <c r="K17"/>
  <c r="J49"/>
  <c r="J63"/>
  <c r="J50"/>
  <c r="J11"/>
  <c r="J25"/>
  <c r="J17"/>
  <c r="I50"/>
  <c r="I24"/>
  <c r="I49"/>
  <c r="I25"/>
  <c r="H49"/>
  <c r="H47"/>
  <c r="H24"/>
  <c r="H11"/>
  <c r="H50"/>
  <c r="H17"/>
  <c r="G45"/>
  <c r="G24"/>
  <c r="G50"/>
  <c r="G17"/>
  <c r="L10" l="1"/>
  <c r="N10"/>
  <c r="N8"/>
  <c r="M8"/>
  <c r="K66" l="1"/>
  <c r="K10"/>
  <c r="K8"/>
  <c r="J8"/>
  <c r="J10" l="1"/>
  <c r="J61"/>
  <c r="I10"/>
  <c r="I8"/>
  <c r="H10"/>
  <c r="G21"/>
  <c r="G10"/>
  <c r="J72" l="1"/>
  <c r="J71"/>
  <c r="F28"/>
  <c r="E37" l="1"/>
  <c r="T73" l="1"/>
  <c r="U73" s="1"/>
  <c r="T74"/>
  <c r="U74" s="1"/>
  <c r="T75"/>
  <c r="U75" s="1"/>
  <c r="T76"/>
  <c r="U76" s="1"/>
  <c r="T77"/>
  <c r="U77" s="1"/>
  <c r="T72"/>
  <c r="U72" s="1"/>
  <c r="T71"/>
  <c r="U71" s="1"/>
  <c r="T67"/>
  <c r="U67" s="1"/>
  <c r="I70"/>
  <c r="J70"/>
  <c r="K70"/>
  <c r="L70"/>
  <c r="M70"/>
  <c r="N70"/>
  <c r="O70"/>
  <c r="P70"/>
  <c r="Q70"/>
  <c r="R70"/>
  <c r="S70"/>
  <c r="H70"/>
  <c r="G70"/>
  <c r="F70"/>
  <c r="D67" l="1"/>
  <c r="C67" s="1"/>
  <c r="E12"/>
  <c r="D76"/>
  <c r="C76" s="1"/>
  <c r="E70"/>
  <c r="D77"/>
  <c r="C77" s="1"/>
  <c r="D74"/>
  <c r="C74" s="1"/>
  <c r="D75"/>
  <c r="C75" s="1"/>
  <c r="D73"/>
  <c r="C73" s="1"/>
  <c r="D72"/>
  <c r="C72" s="1"/>
  <c r="D71"/>
  <c r="C71" s="1"/>
  <c r="T41" l="1"/>
  <c r="U41" s="1"/>
  <c r="T42"/>
  <c r="U42" s="1"/>
  <c r="T68"/>
  <c r="U68" s="1"/>
  <c r="D68"/>
  <c r="C68" s="1"/>
  <c r="E52"/>
  <c r="E44" l="1"/>
  <c r="E28"/>
  <c r="D42"/>
  <c r="C42" s="1"/>
  <c r="D41"/>
  <c r="C41" s="1"/>
  <c r="T70"/>
  <c r="T22"/>
  <c r="F19"/>
  <c r="T79"/>
  <c r="D29" l="1"/>
  <c r="T20" l="1"/>
  <c r="U20" s="1"/>
  <c r="T21"/>
  <c r="U21" s="1"/>
  <c r="R52"/>
  <c r="P44"/>
  <c r="O19"/>
  <c r="O16" s="1"/>
  <c r="P19"/>
  <c r="P16" s="1"/>
  <c r="N19"/>
  <c r="N16" s="1"/>
  <c r="M19"/>
  <c r="M16" s="1"/>
  <c r="M52"/>
  <c r="C7"/>
  <c r="P28"/>
  <c r="O9"/>
  <c r="T62"/>
  <c r="U62" s="1"/>
  <c r="T49"/>
  <c r="U49" s="1"/>
  <c r="L44"/>
  <c r="T18"/>
  <c r="U18" s="1"/>
  <c r="K44"/>
  <c r="I19"/>
  <c r="I9"/>
  <c r="I28"/>
  <c r="H28"/>
  <c r="G9"/>
  <c r="D77" i="7"/>
  <c r="C77" s="1"/>
  <c r="D76"/>
  <c r="C76" s="1"/>
  <c r="D75"/>
  <c r="C75" s="1"/>
  <c r="D74"/>
  <c r="C74" s="1"/>
  <c r="D73"/>
  <c r="C73" s="1"/>
  <c r="D72"/>
  <c r="C72"/>
  <c r="D71"/>
  <c r="C71" s="1"/>
  <c r="D70"/>
  <c r="C70" s="1"/>
  <c r="D69"/>
  <c r="C69" s="1"/>
  <c r="D68"/>
  <c r="C68" s="1"/>
  <c r="D67"/>
  <c r="C67" s="1"/>
  <c r="D66"/>
  <c r="C66" s="1"/>
  <c r="D65"/>
  <c r="C65" s="1"/>
  <c r="D64"/>
  <c r="C64" s="1"/>
  <c r="D63"/>
  <c r="C63" s="1"/>
  <c r="D62"/>
  <c r="C62" s="1"/>
  <c r="D61"/>
  <c r="C61" s="1"/>
  <c r="D60"/>
  <c r="C60" s="1"/>
  <c r="D59"/>
  <c r="C59" s="1"/>
  <c r="D58"/>
  <c r="C58" s="1"/>
  <c r="D57"/>
  <c r="C57" s="1"/>
  <c r="D56"/>
  <c r="C56" s="1"/>
  <c r="E55"/>
  <c r="D55" s="1"/>
  <c r="C55" s="1"/>
  <c r="D54"/>
  <c r="C54" s="1"/>
  <c r="D53"/>
  <c r="C53" s="1"/>
  <c r="D52"/>
  <c r="C52" s="1"/>
  <c r="D51"/>
  <c r="C51" s="1"/>
  <c r="D50"/>
  <c r="C50" s="1"/>
  <c r="D49"/>
  <c r="C49" s="1"/>
  <c r="D48"/>
  <c r="C48" s="1"/>
  <c r="D47"/>
  <c r="C47" s="1"/>
  <c r="E46"/>
  <c r="D46" s="1"/>
  <c r="C46" s="1"/>
  <c r="D45"/>
  <c r="C45" s="1"/>
  <c r="D44"/>
  <c r="C44" s="1"/>
  <c r="D43"/>
  <c r="C43" s="1"/>
  <c r="D42"/>
  <c r="C42" s="1"/>
  <c r="D41"/>
  <c r="C41" s="1"/>
  <c r="D40"/>
  <c r="C40" s="1"/>
  <c r="D39"/>
  <c r="D38"/>
  <c r="D37"/>
  <c r="C37"/>
  <c r="D36"/>
  <c r="C36" s="1"/>
  <c r="D35"/>
  <c r="C35" s="1"/>
  <c r="D34"/>
  <c r="C34" s="1"/>
  <c r="D33"/>
  <c r="C33" s="1"/>
  <c r="E32"/>
  <c r="D32" s="1"/>
  <c r="C32" s="1"/>
  <c r="D31"/>
  <c r="C31" s="1"/>
  <c r="D30"/>
  <c r="C30" s="1"/>
  <c r="D29"/>
  <c r="C29" s="1"/>
  <c r="D28"/>
  <c r="C28" s="1"/>
  <c r="D27"/>
  <c r="C27" s="1"/>
  <c r="E26"/>
  <c r="D26" s="1"/>
  <c r="C26" s="1"/>
  <c r="D25"/>
  <c r="D24"/>
  <c r="D23"/>
  <c r="E22"/>
  <c r="D22" s="1"/>
  <c r="C22" s="1"/>
  <c r="D21"/>
  <c r="C21" s="1"/>
  <c r="D20"/>
  <c r="C20" s="1"/>
  <c r="D18"/>
  <c r="C18" s="1"/>
  <c r="D17"/>
  <c r="D16"/>
  <c r="E15"/>
  <c r="D15" s="1"/>
  <c r="C15" s="1"/>
  <c r="D14"/>
  <c r="C14" s="1"/>
  <c r="D12"/>
  <c r="C12" s="1"/>
  <c r="D11"/>
  <c r="C11" s="1"/>
  <c r="E10"/>
  <c r="D10" s="1"/>
  <c r="C10" s="1"/>
  <c r="D9"/>
  <c r="C9" s="1"/>
  <c r="D8"/>
  <c r="C8" s="1"/>
  <c r="D7"/>
  <c r="C7" s="1"/>
  <c r="D6"/>
  <c r="C6" s="1"/>
  <c r="F44" i="1"/>
  <c r="F9"/>
  <c r="T66"/>
  <c r="U66" s="1"/>
  <c r="T78"/>
  <c r="U78" s="1"/>
  <c r="D78"/>
  <c r="C78" s="1"/>
  <c r="D66"/>
  <c r="C66" s="1"/>
  <c r="D6"/>
  <c r="C6" s="1"/>
  <c r="S19"/>
  <c r="S16" s="1"/>
  <c r="D14"/>
  <c r="C14" s="1"/>
  <c r="T51"/>
  <c r="U51" s="1"/>
  <c r="T29"/>
  <c r="U29" s="1"/>
  <c r="D51"/>
  <c r="C51" s="1"/>
  <c r="T34"/>
  <c r="U34" s="1"/>
  <c r="T35"/>
  <c r="U35" s="1"/>
  <c r="D35"/>
  <c r="C35" s="1"/>
  <c r="D34"/>
  <c r="C34" s="1"/>
  <c r="T24"/>
  <c r="U24" s="1"/>
  <c r="T25"/>
  <c r="U25" s="1"/>
  <c r="T26"/>
  <c r="U26" s="1"/>
  <c r="T27"/>
  <c r="U27" s="1"/>
  <c r="T31"/>
  <c r="U31" s="1"/>
  <c r="T33"/>
  <c r="U33" s="1"/>
  <c r="T36"/>
  <c r="U36" s="1"/>
  <c r="T37"/>
  <c r="U37" s="1"/>
  <c r="T38"/>
  <c r="U38" s="1"/>
  <c r="T43"/>
  <c r="U43" s="1"/>
  <c r="T47"/>
  <c r="U47" s="1"/>
  <c r="T48"/>
  <c r="U48" s="1"/>
  <c r="T55"/>
  <c r="U55" s="1"/>
  <c r="T57"/>
  <c r="U57" s="1"/>
  <c r="T58"/>
  <c r="U58" s="1"/>
  <c r="T59"/>
  <c r="U59" s="1"/>
  <c r="T60"/>
  <c r="U60" s="1"/>
  <c r="T61"/>
  <c r="U61" s="1"/>
  <c r="T63"/>
  <c r="U63" s="1"/>
  <c r="T65"/>
  <c r="U65" s="1"/>
  <c r="T15"/>
  <c r="U15" s="1"/>
  <c r="R9"/>
  <c r="R23"/>
  <c r="Q28"/>
  <c r="Q9"/>
  <c r="Q44"/>
  <c r="L19"/>
  <c r="L16" s="1"/>
  <c r="M44"/>
  <c r="L28"/>
  <c r="T40"/>
  <c r="U40" s="1"/>
  <c r="O23"/>
  <c r="P52"/>
  <c r="Q23"/>
  <c r="Q52"/>
  <c r="R28"/>
  <c r="O28"/>
  <c r="T53"/>
  <c r="U53" s="1"/>
  <c r="T64"/>
  <c r="U64" s="1"/>
  <c r="H44"/>
  <c r="J28"/>
  <c r="I44"/>
  <c r="H9"/>
  <c r="T13"/>
  <c r="U13" s="1"/>
  <c r="S44"/>
  <c r="G44"/>
  <c r="S9"/>
  <c r="J12"/>
  <c r="K12"/>
  <c r="L12"/>
  <c r="M12"/>
  <c r="N12"/>
  <c r="O12"/>
  <c r="P12"/>
  <c r="Q12"/>
  <c r="R12"/>
  <c r="S12"/>
  <c r="G12"/>
  <c r="J19"/>
  <c r="K19"/>
  <c r="Q19"/>
  <c r="Q16" s="1"/>
  <c r="R19"/>
  <c r="R16" s="1"/>
  <c r="G19"/>
  <c r="G16" s="1"/>
  <c r="J23"/>
  <c r="K23"/>
  <c r="M23"/>
  <c r="P23"/>
  <c r="S23"/>
  <c r="G23"/>
  <c r="S28"/>
  <c r="G28"/>
  <c r="D28"/>
  <c r="C28" s="1"/>
  <c r="D52"/>
  <c r="C52" s="1"/>
  <c r="S52"/>
  <c r="I52"/>
  <c r="H52"/>
  <c r="G52"/>
  <c r="F52"/>
  <c r="I23"/>
  <c r="D50"/>
  <c r="C50" s="1"/>
  <c r="H12"/>
  <c r="F12"/>
  <c r="F23"/>
  <c r="D64"/>
  <c r="C64" s="1"/>
  <c r="E9"/>
  <c r="E19"/>
  <c r="D19" s="1"/>
  <c r="C19" s="1"/>
  <c r="E23"/>
  <c r="D40"/>
  <c r="C40" s="1"/>
  <c r="D70"/>
  <c r="C70" s="1"/>
  <c r="D18"/>
  <c r="C18" s="1"/>
  <c r="D49"/>
  <c r="C49" s="1"/>
  <c r="D48"/>
  <c r="C48" s="1"/>
  <c r="D65"/>
  <c r="C65" s="1"/>
  <c r="D63"/>
  <c r="C63" s="1"/>
  <c r="D39"/>
  <c r="C39" s="1"/>
  <c r="D79"/>
  <c r="C79" s="1"/>
  <c r="D69"/>
  <c r="C69" s="1"/>
  <c r="D22"/>
  <c r="C22" s="1"/>
  <c r="D21"/>
  <c r="C21" s="1"/>
  <c r="D62"/>
  <c r="C62" s="1"/>
  <c r="D61"/>
  <c r="C61" s="1"/>
  <c r="D60"/>
  <c r="C60" s="1"/>
  <c r="D59"/>
  <c r="C59" s="1"/>
  <c r="D58"/>
  <c r="C58" s="1"/>
  <c r="D57"/>
  <c r="C57" s="1"/>
  <c r="D56"/>
  <c r="C56" s="1"/>
  <c r="D55"/>
  <c r="C55" s="1"/>
  <c r="D54"/>
  <c r="C54" s="1"/>
  <c r="D53"/>
  <c r="C53" s="1"/>
  <c r="D47"/>
  <c r="C47" s="1"/>
  <c r="D45"/>
  <c r="C45" s="1"/>
  <c r="D43"/>
  <c r="C43" s="1"/>
  <c r="D38"/>
  <c r="C38" s="1"/>
  <c r="D37"/>
  <c r="C37" s="1"/>
  <c r="D36"/>
  <c r="C36" s="1"/>
  <c r="D33"/>
  <c r="C33" s="1"/>
  <c r="D32"/>
  <c r="C32" s="1"/>
  <c r="D31"/>
  <c r="C31" s="1"/>
  <c r="D30"/>
  <c r="C30" s="1"/>
  <c r="C29"/>
  <c r="D27"/>
  <c r="C27" s="1"/>
  <c r="D26"/>
  <c r="C26" s="1"/>
  <c r="D25"/>
  <c r="C25" s="1"/>
  <c r="D24"/>
  <c r="C24" s="1"/>
  <c r="D5"/>
  <c r="C5" s="1"/>
  <c r="D8"/>
  <c r="C8" s="1"/>
  <c r="D15"/>
  <c r="C15" s="1"/>
  <c r="D17"/>
  <c r="C17" s="1"/>
  <c r="D13"/>
  <c r="C13" s="1"/>
  <c r="D11"/>
  <c r="C11" s="1"/>
  <c r="D10"/>
  <c r="C10" s="1"/>
  <c r="D20"/>
  <c r="C20" s="1"/>
  <c r="D46"/>
  <c r="C46" s="1"/>
  <c r="N23"/>
  <c r="J52"/>
  <c r="L23"/>
  <c r="M9"/>
  <c r="H23"/>
  <c r="M28"/>
  <c r="O52"/>
  <c r="R44"/>
  <c r="N28"/>
  <c r="T30"/>
  <c r="U30" s="1"/>
  <c r="K52"/>
  <c r="T45"/>
  <c r="U45" s="1"/>
  <c r="E13" i="7"/>
  <c r="D13" s="1"/>
  <c r="C13" s="1"/>
  <c r="T54" i="1"/>
  <c r="U54" s="1"/>
  <c r="E19" i="7" l="1"/>
  <c r="D19" s="1"/>
  <c r="C19" s="1"/>
  <c r="D12" i="1"/>
  <c r="C12" s="1"/>
  <c r="M80"/>
  <c r="S80"/>
  <c r="Q80"/>
  <c r="R80"/>
  <c r="T23"/>
  <c r="U23" s="1"/>
  <c r="U70"/>
  <c r="T50"/>
  <c r="U50" s="1"/>
  <c r="P9"/>
  <c r="P80" s="1"/>
  <c r="N52"/>
  <c r="T46"/>
  <c r="U46" s="1"/>
  <c r="K16"/>
  <c r="T14"/>
  <c r="U14" s="1"/>
  <c r="T32"/>
  <c r="U32" s="1"/>
  <c r="U22"/>
  <c r="T17"/>
  <c r="U17" s="1"/>
  <c r="J44"/>
  <c r="N44"/>
  <c r="N9"/>
  <c r="T6"/>
  <c r="U6" s="1"/>
  <c r="O44"/>
  <c r="O80" s="1"/>
  <c r="I16"/>
  <c r="T11"/>
  <c r="U11" s="1"/>
  <c r="I12"/>
  <c r="T12" s="1"/>
  <c r="U12" s="1"/>
  <c r="E16"/>
  <c r="D16" s="1"/>
  <c r="C16" s="1"/>
  <c r="H19"/>
  <c r="H16" s="1"/>
  <c r="H80" s="1"/>
  <c r="J16"/>
  <c r="T56"/>
  <c r="U56" s="1"/>
  <c r="T8"/>
  <c r="U8" s="1"/>
  <c r="J9"/>
  <c r="T39"/>
  <c r="U39" s="1"/>
  <c r="T69"/>
  <c r="U69" s="1"/>
  <c r="K9"/>
  <c r="L9"/>
  <c r="T7"/>
  <c r="U7" s="1"/>
  <c r="D23"/>
  <c r="C23" s="1"/>
  <c r="F16"/>
  <c r="F80" s="1"/>
  <c r="L52"/>
  <c r="T10"/>
  <c r="U10" s="1"/>
  <c r="K28"/>
  <c r="D44"/>
  <c r="C44" s="1"/>
  <c r="D9"/>
  <c r="C9" s="1"/>
  <c r="E78" i="7" l="1"/>
  <c r="D78" s="1"/>
  <c r="E80" i="1"/>
  <c r="L80"/>
  <c r="J80"/>
  <c r="K80"/>
  <c r="N80"/>
  <c r="I80"/>
  <c r="T44"/>
  <c r="U44" s="1"/>
  <c r="T16"/>
  <c r="U16" s="1"/>
  <c r="T19"/>
  <c r="U19" s="1"/>
  <c r="T9"/>
  <c r="U9" s="1"/>
  <c r="T28"/>
  <c r="T52"/>
  <c r="U52" s="1"/>
  <c r="D80" l="1"/>
  <c r="D85" s="1"/>
  <c r="G84"/>
  <c r="D83" i="7"/>
  <c r="C78"/>
  <c r="U28" i="1"/>
  <c r="U80" s="1"/>
  <c r="T80"/>
  <c r="C80" l="1"/>
  <c r="C39" i="7"/>
  <c r="C38"/>
</calcChain>
</file>

<file path=xl/comments1.xml><?xml version="1.0" encoding="utf-8"?>
<comments xmlns="http://schemas.openxmlformats.org/spreadsheetml/2006/main">
  <authors>
    <author>User 1</author>
    <author>Максим</author>
    <author>User 2</author>
    <author>Владелец</author>
  </authors>
  <commentList>
    <comment ref="O15" authorId="0">
      <text>
        <r>
          <rPr>
            <b/>
            <sz val="9"/>
            <color indexed="81"/>
            <rFont val="Tahoma"/>
            <family val="2"/>
            <charset val="204"/>
          </rPr>
          <t>подписка на журнал "Управление МКД"</t>
        </r>
      </text>
    </comment>
    <comment ref="N22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SSD для 2 ПК</t>
        </r>
      </text>
    </comment>
    <comment ref="R22" authorId="0">
      <text>
        <r>
          <rPr>
            <sz val="9"/>
            <color indexed="81"/>
            <rFont val="Tahoma"/>
            <family val="2"/>
            <charset val="204"/>
          </rPr>
          <t>4900 сбис на год</t>
        </r>
      </text>
    </comment>
    <comment ref="S22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МФУ в офис</t>
        </r>
      </text>
    </comment>
    <comment ref="H30" authorId="0">
      <text>
        <r>
          <rPr>
            <sz val="9"/>
            <color indexed="81"/>
            <rFont val="Tahoma"/>
            <family val="2"/>
            <charset val="204"/>
          </rPr>
          <t>Изменение печатной формы квитанции</t>
        </r>
      </text>
    </comment>
    <comment ref="N30" authorId="0">
      <text>
        <r>
          <rPr>
            <sz val="9"/>
            <color indexed="81"/>
            <rFont val="Tahoma"/>
            <family val="2"/>
            <charset val="204"/>
          </rPr>
          <t>ремонт пк 6800 обновление 1с 7200</t>
        </r>
      </text>
    </comment>
    <comment ref="J32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ремонт эл.привода ГВС
</t>
        </r>
      </text>
    </comment>
    <comment ref="H47" authorId="2">
      <text>
        <r>
          <rPr>
            <sz val="9"/>
            <color indexed="81"/>
            <rFont val="Tahoma"/>
            <family val="2"/>
            <charset val="204"/>
          </rPr>
          <t>Перегородка со стеклом для главного бухгалтера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R58" authorId="0">
      <text>
        <r>
          <rPr>
            <sz val="9"/>
            <color indexed="81"/>
            <rFont val="Tahoma"/>
            <family val="2"/>
            <charset val="204"/>
          </rPr>
          <t>Закладка отверстий в кладовых и ремонт откосов, текущий ремонт в 3 подъезде</t>
        </r>
      </text>
    </comment>
    <comment ref="P63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Установка второго ряда ограждения спортплощадки</t>
        </r>
      </text>
    </comment>
    <comment ref="P64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14500 за асфальтирование дорожки между домами</t>
        </r>
      </text>
    </comment>
    <comment ref="F69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Антимагнитные пломбы
</t>
        </r>
      </text>
    </comment>
    <comment ref="H69" authorId="2">
      <text>
        <r>
          <rPr>
            <b/>
            <sz val="9"/>
            <color indexed="81"/>
            <rFont val="Tahoma"/>
            <family val="2"/>
            <charset val="204"/>
          </rPr>
          <t>изготовление печати</t>
        </r>
      </text>
    </comment>
    <comment ref="O69" authorId="0">
      <text>
        <r>
          <rPr>
            <b/>
            <sz val="9"/>
            <color indexed="81"/>
            <rFont val="Tahoma"/>
            <family val="2"/>
            <charset val="204"/>
          </rPr>
          <t>магнитные пломбы</t>
        </r>
      </text>
    </comment>
    <comment ref="I71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01-03 2017
</t>
        </r>
      </text>
    </comment>
    <comment ref="J71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04-06 2017
</t>
        </r>
      </text>
    </comment>
    <comment ref="M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7-9 2017
</t>
        </r>
      </text>
    </comment>
    <comment ref="P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4 кв 2047
</t>
        </r>
      </text>
    </comment>
    <comment ref="G72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01,02,03 2017
</t>
        </r>
      </text>
    </comment>
    <comment ref="J72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за 04,05,06
 2017
</t>
        </r>
      </text>
    </comment>
    <comment ref="M72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07-10
</t>
        </r>
      </text>
    </comment>
    <comment ref="P72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10,11,12
</t>
        </r>
      </text>
    </comment>
    <comment ref="Q72" authorId="0">
      <text>
        <r>
          <rPr>
            <b/>
            <sz val="9"/>
            <color indexed="81"/>
            <rFont val="Tahoma"/>
            <family val="2"/>
            <charset val="204"/>
          </rPr>
          <t>за 11 2017</t>
        </r>
      </text>
    </comment>
    <comment ref="U72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Переплата за 2 мес</t>
        </r>
      </text>
    </comment>
    <comment ref="H73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09-12 2016
</t>
        </r>
      </text>
    </comment>
    <comment ref="I73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24.03.17 за 
07,08,2016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01-05 2017
</t>
        </r>
      </text>
    </comment>
    <comment ref="M7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06 2017
</t>
        </r>
      </text>
    </comment>
    <comment ref="P7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7,8,9
</t>
        </r>
      </text>
    </comment>
    <comment ref="Q73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R73" authorId="2">
      <text>
        <r>
          <rPr>
            <b/>
            <sz val="9"/>
            <color indexed="81"/>
            <rFont val="Tahoma"/>
            <family val="2"/>
            <charset val="204"/>
          </rPr>
          <t>11</t>
        </r>
      </text>
    </comment>
    <comment ref="S73" author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I74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14.03.17 за 01,02,03-2017
</t>
        </r>
      </text>
    </comment>
    <comment ref="O74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3 кв
</t>
        </r>
      </text>
    </comment>
    <comment ref="R74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4 кв.</t>
        </r>
      </text>
    </comment>
    <comment ref="F75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10-12</t>
        </r>
      </text>
    </comment>
    <comment ref="I75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22.03.17 за 01,02-2017
</t>
        </r>
      </text>
    </comment>
    <comment ref="J75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за 03 2017
</t>
        </r>
      </text>
    </comment>
    <comment ref="K75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04 2017
</t>
        </r>
      </text>
    </comment>
    <comment ref="L75" authorId="3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05 2017
</t>
        </r>
      </text>
    </comment>
    <comment ref="M7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06 2017
</t>
        </r>
      </text>
    </comment>
    <comment ref="N7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07 2017
</t>
        </r>
      </text>
    </comment>
    <comment ref="O7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08 2017г.
</t>
        </r>
      </text>
    </comment>
    <comment ref="P7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09
</t>
        </r>
      </text>
    </comment>
    <comment ref="Q75" authorId="2">
      <text>
        <r>
          <rPr>
            <b/>
            <sz val="9"/>
            <color indexed="81"/>
            <rFont val="Tahoma"/>
            <family val="2"/>
            <charset val="204"/>
          </rPr>
          <t>10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5" authorId="0">
      <text>
        <r>
          <rPr>
            <b/>
            <sz val="9"/>
            <color indexed="81"/>
            <rFont val="Tahoma"/>
            <family val="2"/>
            <charset val="204"/>
          </rPr>
          <t>11</t>
        </r>
      </text>
    </comment>
    <comment ref="S75" author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</commentList>
</comments>
</file>

<file path=xl/sharedStrings.xml><?xml version="1.0" encoding="utf-8"?>
<sst xmlns="http://schemas.openxmlformats.org/spreadsheetml/2006/main" count="319" uniqueCount="215">
  <si>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</si>
  <si>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</si>
  <si>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</si>
  <si>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</si>
  <si>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</si>
  <si>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</si>
  <si>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</si>
  <si>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</si>
  <si>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</si>
  <si>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</si>
  <si>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</si>
  <si>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</si>
  <si>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</si>
  <si>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</si>
  <si>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</si>
  <si>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</si>
  <si>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</si>
  <si>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</si>
  <si>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</si>
  <si>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</si>
  <si>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</si>
  <si>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</si>
  <si>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</si>
  <si>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</si>
  <si>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</si>
  <si>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</si>
  <si>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</si>
  <si>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</si>
  <si>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</si>
  <si>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</si>
  <si>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</si>
  <si>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</si>
  <si>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</si>
  <si>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</si>
  <si>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</si>
  <si>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</si>
  <si>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</si>
  <si>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</si>
  <si>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</si>
  <si>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</si>
  <si>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</si>
  <si>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</si>
  <si>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</si>
  <si>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</si>
  <si>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</si>
  <si>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</si>
  <si>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</si>
  <si>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</si>
  <si>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</si>
  <si>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</si>
  <si>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</si>
  <si>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</si>
  <si>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</si>
  <si>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</si>
  <si>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</si>
  <si>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</si>
  <si>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</si>
  <si>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</si>
  <si>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</si>
  <si>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</si>
  <si>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</si>
  <si>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</si>
  <si>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</si>
  <si>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</si>
  <si>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</si>
  <si>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</si>
  <si>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</si>
  <si>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</si>
  <si>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</si>
  <si>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</si>
  <si>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</si>
  <si>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</si>
  <si>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</si>
  <si>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</si>
  <si>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</si>
  <si>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</si>
  <si>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</si>
  <si>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</si>
  <si>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</si>
  <si>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</si>
  <si>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</si>
  <si>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</si>
  <si>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</si>
  <si>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</si>
  <si>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</si>
  <si>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</si>
  <si>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</si>
  <si>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</si>
  <si>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</si>
  <si>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</si>
  <si>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</si>
  <si>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</si>
  <si>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</si>
  <si>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</si>
  <si>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</si>
  <si>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</si>
  <si>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</si>
  <si>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</si>
  <si>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</si>
  <si>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</si>
  <si>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</si>
  <si>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</si>
  <si>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</si>
  <si>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</si>
  <si>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</si>
  <si>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</si>
  <si>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</si>
  <si>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</si>
  <si>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</si>
  <si>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</si>
  <si>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</si>
  <si>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</si>
  <si>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</si>
  <si>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</si>
  <si>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</si>
  <si>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</si>
  <si>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</si>
  <si>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</si>
  <si>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</si>
  <si>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</si>
  <si>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</si>
  <si>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</si>
  <si>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</si>
  <si>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</si>
  <si>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</si>
  <si>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</si>
  <si>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</si>
  <si>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</si>
  <si>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</si>
  <si>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</si>
  <si>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</si>
  <si>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</si>
  <si>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</si>
  <si>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</si>
  <si>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</si>
  <si>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</si>
  <si>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</si>
  <si>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</si>
  <si>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</si>
  <si>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</si>
  <si>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</si>
  <si>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</si>
  <si>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</si>
  <si>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</si>
  <si>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</si>
  <si>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</si>
  <si>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</si>
  <si>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</si>
  <si>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</si>
  <si>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</si>
  <si>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</si>
  <si>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</si>
  <si>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</si>
  <si>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</si>
  <si>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</si>
  <si>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</si>
  <si>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</si>
  <si>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</si>
  <si>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</si>
  <si>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</si>
  <si>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</si>
  <si>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</si>
  <si>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</si>
  <si>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обслуживание узла учета тепловой энергии и воды, поверка, ремонт</t>
  </si>
  <si>
    <t>сантехническое оборудование</t>
  </si>
  <si>
    <t>10.14</t>
  </si>
  <si>
    <t>10.15</t>
  </si>
  <si>
    <t>сантехнические работы</t>
  </si>
  <si>
    <t>электромонтажные работы</t>
  </si>
  <si>
    <t>1С обновления (подписка)</t>
  </si>
  <si>
    <t>тариф на содержание и ремонт общего имущества МКД за 1 кв.м общей площади в месяц:</t>
  </si>
  <si>
    <t>14.1</t>
  </si>
  <si>
    <t>14.2</t>
  </si>
  <si>
    <t>14.3</t>
  </si>
  <si>
    <t>14.4</t>
  </si>
  <si>
    <t>"МТС" (размещение базовой станции сотовой связи)</t>
  </si>
  <si>
    <t>"Вымпелком" (размещение базовой станции сотовой связи)</t>
  </si>
  <si>
    <t>"МТС" размещение телекоммуникационного оборудования в подъездах</t>
  </si>
  <si>
    <t>"Ростелеком" размещение телекоммуникационного оборудования в подъездах</t>
  </si>
  <si>
    <t>14.5</t>
  </si>
  <si>
    <t>14.6</t>
  </si>
  <si>
    <t>Прочие (непредвиденные доходы)</t>
  </si>
  <si>
    <t>14.7</t>
  </si>
  <si>
    <t>Пени</t>
  </si>
  <si>
    <t>мастера по уборке придомовой территории, лестничных клеток (перчатки, СМС и т.д.)</t>
  </si>
  <si>
    <t>слесарь-сантехник (перчатки, СМС и т.д.)</t>
  </si>
  <si>
    <t>утепление дверей - выходов на кровлю</t>
  </si>
  <si>
    <r>
      <t xml:space="preserve">установка и обслуживание системы дворового и офисного </t>
    </r>
    <r>
      <rPr>
        <b/>
        <i/>
        <sz val="9"/>
        <rFont val="Arial Cyr"/>
        <charset val="204"/>
      </rPr>
      <t>видеонаблюдения</t>
    </r>
  </si>
  <si>
    <r>
      <t xml:space="preserve">текущий ремонт в подъездах, </t>
    </r>
    <r>
      <rPr>
        <b/>
        <i/>
        <sz val="9"/>
        <rFont val="Arial Cyr"/>
        <charset val="204"/>
      </rPr>
      <t>откосы</t>
    </r>
    <r>
      <rPr>
        <i/>
        <sz val="9"/>
        <rFont val="Arial Cyr"/>
        <charset val="204"/>
      </rPr>
      <t xml:space="preserve"> на дверях и окнах</t>
    </r>
  </si>
  <si>
    <r>
      <rPr>
        <b/>
        <i/>
        <sz val="9"/>
        <rFont val="Arial Cyr"/>
        <charset val="204"/>
      </rPr>
      <t>сварочные работы</t>
    </r>
    <r>
      <rPr>
        <i/>
        <sz val="9"/>
        <rFont val="Arial Cyr"/>
        <charset val="204"/>
      </rPr>
      <t xml:space="preserve"> трубопроводов, фланцев для задвижек, водонагревателей</t>
    </r>
  </si>
  <si>
    <r>
      <t>очистка внутридворовых проездов от</t>
    </r>
    <r>
      <rPr>
        <b/>
        <i/>
        <sz val="9"/>
        <rFont val="Arial Cyr"/>
        <charset val="204"/>
      </rPr>
      <t xml:space="preserve"> снега</t>
    </r>
    <r>
      <rPr>
        <i/>
        <sz val="9"/>
        <rFont val="Arial Cyr"/>
        <charset val="204"/>
      </rPr>
      <t xml:space="preserve"> спецтехникой</t>
    </r>
  </si>
  <si>
    <r>
      <t xml:space="preserve">усиление ограждения </t>
    </r>
    <r>
      <rPr>
        <b/>
        <i/>
        <sz val="9"/>
        <rFont val="Arial Cyr"/>
        <charset val="204"/>
      </rPr>
      <t>спортивной площадки</t>
    </r>
    <r>
      <rPr>
        <i/>
        <sz val="9"/>
        <rFont val="Arial Cyr"/>
        <charset val="204"/>
      </rPr>
      <t>, сети и др.</t>
    </r>
  </si>
  <si>
    <t>техническому содержанию и ремонту общего имущества многоквартирного дома на 2017 год</t>
  </si>
  <si>
    <t>Остаток средств по статье "Содержание и ремонт жилья" за 2016 год</t>
  </si>
  <si>
    <t>На основании сметы расходов на 2017 г. Правление ТСЖ предлагает утвердить</t>
  </si>
  <si>
    <t>установка новых металлопластиковых окон в последних семи подъездах</t>
  </si>
  <si>
    <t>установка противопожарной сигнализации в подъездах</t>
  </si>
  <si>
    <t>электротехнические материалы</t>
  </si>
  <si>
    <t>промывка теплообменников ГВС</t>
  </si>
  <si>
    <t>откачка нечистот и чистка колодцев водоотведения</t>
  </si>
  <si>
    <t>обслуживание автоматики и циркуляционных насосов ИТП</t>
  </si>
  <si>
    <t>Сумма расходов по месяцам 2017 года, руб.</t>
  </si>
  <si>
    <t>в январе 2017г. за декабрь 2016г.</t>
  </si>
  <si>
    <t>в январе 2018г. за декабрь 2017г.</t>
  </si>
  <si>
    <r>
      <t xml:space="preserve">обслуживание </t>
    </r>
    <r>
      <rPr>
        <b/>
        <i/>
        <sz val="9"/>
        <rFont val="Arial Cyr"/>
        <charset val="204"/>
      </rPr>
      <t>домофонов и дверей подъездов</t>
    </r>
  </si>
  <si>
    <r>
      <t xml:space="preserve">заделка </t>
    </r>
    <r>
      <rPr>
        <b/>
        <i/>
        <sz val="9"/>
        <rFont val="Arial Cyr"/>
        <charset val="204"/>
      </rPr>
      <t>межпанельных швов</t>
    </r>
    <r>
      <rPr>
        <i/>
        <sz val="9"/>
        <rFont val="Arial Cyr"/>
        <charset val="204"/>
      </rPr>
      <t>, окрашивание фасада</t>
    </r>
  </si>
  <si>
    <r>
      <t xml:space="preserve">ремонт </t>
    </r>
    <r>
      <rPr>
        <b/>
        <i/>
        <sz val="9"/>
        <rFont val="Arial Cyr"/>
        <charset val="204"/>
      </rPr>
      <t>кровли</t>
    </r>
    <r>
      <rPr>
        <i/>
        <sz val="9"/>
        <rFont val="Arial Cyr"/>
        <charset val="204"/>
      </rPr>
      <t>, восстановление козырьков</t>
    </r>
  </si>
  <si>
    <r>
      <t>окрашивание и</t>
    </r>
    <r>
      <rPr>
        <b/>
        <i/>
        <sz val="9"/>
        <rFont val="Arial Cyr"/>
        <charset val="204"/>
      </rPr>
      <t xml:space="preserve"> ремонт лавочек</t>
    </r>
    <r>
      <rPr>
        <i/>
        <sz val="9"/>
        <rFont val="Arial Cyr"/>
        <charset val="204"/>
      </rPr>
      <t>, детского игрового оборудования, ограждений, дверей</t>
    </r>
  </si>
  <si>
    <r>
      <t xml:space="preserve">очистка </t>
    </r>
    <r>
      <rPr>
        <b/>
        <i/>
        <sz val="9"/>
        <rFont val="Arial Cyr"/>
        <charset val="204"/>
      </rPr>
      <t>кровли</t>
    </r>
    <r>
      <rPr>
        <i/>
        <sz val="9"/>
        <rFont val="Arial Cyr"/>
        <charset val="204"/>
      </rPr>
      <t xml:space="preserve"> от снега и мусора</t>
    </r>
  </si>
  <si>
    <r>
      <rPr>
        <b/>
        <i/>
        <sz val="9"/>
        <rFont val="Arial Cyr"/>
        <charset val="204"/>
      </rPr>
      <t>охрана</t>
    </r>
    <r>
      <rPr>
        <i/>
        <sz val="9"/>
        <rFont val="Arial Cyr"/>
        <charset val="204"/>
      </rPr>
      <t xml:space="preserve"> общедомового имущества на дворовой территории</t>
    </r>
  </si>
  <si>
    <r>
      <rPr>
        <b/>
        <i/>
        <sz val="9"/>
        <rFont val="Arial Cyr"/>
        <charset val="204"/>
      </rPr>
      <t>дезинсекция и дератизация</t>
    </r>
    <r>
      <rPr>
        <i/>
        <sz val="9"/>
        <rFont val="Arial Cyr"/>
        <charset val="204"/>
      </rPr>
      <t xml:space="preserve"> подвальных помещений</t>
    </r>
  </si>
  <si>
    <r>
      <rPr>
        <i/>
        <sz val="9"/>
        <rFont val="Arial Cyr"/>
        <charset val="204"/>
      </rPr>
      <t>обслуживание систем</t>
    </r>
    <r>
      <rPr>
        <b/>
        <i/>
        <sz val="9"/>
        <rFont val="Arial Cyr"/>
        <charset val="204"/>
      </rPr>
      <t xml:space="preserve"> вентиллирования</t>
    </r>
  </si>
  <si>
    <r>
      <rPr>
        <i/>
        <sz val="9"/>
        <rFont val="Arial Cyr"/>
        <charset val="204"/>
      </rPr>
      <t>обслуживание общедомового</t>
    </r>
    <r>
      <rPr>
        <b/>
        <i/>
        <sz val="9"/>
        <rFont val="Arial Cyr"/>
        <charset val="204"/>
      </rPr>
      <t xml:space="preserve"> газового оборудования, окраска трубопроводов</t>
    </r>
  </si>
  <si>
    <r>
      <t>закупка и ремонт</t>
    </r>
    <r>
      <rPr>
        <b/>
        <i/>
        <sz val="9"/>
        <rFont val="Arial Cyr"/>
        <charset val="204"/>
      </rPr>
      <t xml:space="preserve"> почтовых ящиков</t>
    </r>
  </si>
  <si>
    <r>
      <t>"ТТК" размещение телекоммуникационного оборудования в подъездах</t>
    </r>
    <r>
      <rPr>
        <b/>
        <i/>
        <sz val="9"/>
        <rFont val="Arial Cyr"/>
        <charset val="204"/>
      </rPr>
      <t xml:space="preserve"> МР КАВКАЗ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</si>
</sst>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4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39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1" fillId="0" borderId="39" xfId="0" applyFont="1" applyFill="1" applyBorder="1" applyAlignment="1"/>
    <xf numFmtId="0" fontId="1" fillId="0" borderId="39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3" fillId="0" borderId="30" xfId="0" applyFont="1" applyBorder="1" applyAlignment="1">
      <alignment horizontal="left"/>
    </xf>
    <xf numFmtId="2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1" fontId="5" fillId="5" borderId="16" xfId="0" applyNumberFormat="1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9" xfId="0" applyFont="1" applyFill="1" applyBorder="1"/>
    <xf numFmtId="16" fontId="5" fillId="3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/>
    <xf numFmtId="0" fontId="7" fillId="0" borderId="46" xfId="0" applyFont="1" applyFill="1" applyBorder="1" applyAlignment="1"/>
    <xf numFmtId="16" fontId="5" fillId="3" borderId="47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3" fillId="0" borderId="33" xfId="0" applyFont="1" applyFill="1" applyBorder="1" applyAlignment="1"/>
    <xf numFmtId="0" fontId="7" fillId="0" borderId="48" xfId="0" applyFont="1" applyFill="1" applyBorder="1" applyAlignment="1"/>
    <xf numFmtId="0" fontId="5" fillId="0" borderId="44" xfId="0" applyFont="1" applyFill="1" applyBorder="1"/>
    <xf numFmtId="0" fontId="7" fillId="0" borderId="50" xfId="0" applyFont="1" applyFill="1" applyBorder="1" applyAlignment="1"/>
    <xf numFmtId="2" fontId="7" fillId="0" borderId="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2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Border="1" applyAlignment="1">
      <alignment horizontal="left"/>
    </xf>
    <xf numFmtId="2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" fillId="0" borderId="58" xfId="0" applyFont="1" applyFill="1" applyBorder="1" applyAlignment="1"/>
    <xf numFmtId="0" fontId="1" fillId="0" borderId="58" xfId="0" applyFont="1" applyFill="1" applyBorder="1" applyAlignment="1">
      <alignment vertical="center"/>
    </xf>
    <xf numFmtId="0" fontId="7" fillId="0" borderId="56" xfId="0" applyFont="1" applyFill="1" applyBorder="1" applyAlignment="1"/>
    <xf numFmtId="0" fontId="1" fillId="0" borderId="59" xfId="0" applyFont="1" applyFill="1" applyBorder="1" applyAlignment="1"/>
    <xf numFmtId="1" fontId="5" fillId="0" borderId="61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8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6" xfId="0" applyFont="1" applyFill="1" applyBorder="1"/>
    <xf numFmtId="0" fontId="7" fillId="0" borderId="62" xfId="0" applyFont="1" applyFill="1" applyBorder="1"/>
    <xf numFmtId="0" fontId="7" fillId="0" borderId="56" xfId="0" applyNumberFormat="1" applyFont="1" applyFill="1" applyBorder="1" applyAlignment="1"/>
    <xf numFmtId="0" fontId="7" fillId="0" borderId="0" xfId="0" applyFont="1" applyFill="1"/>
    <xf numFmtId="0" fontId="3" fillId="0" borderId="56" xfId="0" applyFont="1" applyFill="1" applyBorder="1" applyAlignment="1"/>
    <xf numFmtId="0" fontId="7" fillId="0" borderId="62" xfId="0" applyFont="1" applyFill="1" applyBorder="1" applyAlignment="1"/>
    <xf numFmtId="0" fontId="7" fillId="0" borderId="63" xfId="0" applyFont="1" applyFill="1" applyBorder="1" applyAlignment="1"/>
    <xf numFmtId="0" fontId="5" fillId="0" borderId="64" xfId="0" applyFont="1" applyFill="1" applyBorder="1"/>
    <xf numFmtId="0" fontId="5" fillId="0" borderId="34" xfId="0" applyFont="1" applyFill="1" applyBorder="1"/>
    <xf numFmtId="1" fontId="5" fillId="0" borderId="13" xfId="0" applyNumberFormat="1" applyFont="1" applyBorder="1"/>
    <xf numFmtId="0" fontId="5" fillId="0" borderId="66" xfId="0" applyFont="1" applyFill="1" applyBorder="1"/>
    <xf numFmtId="1" fontId="5" fillId="7" borderId="16" xfId="0" applyNumberFormat="1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7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68" xfId="0" applyNumberFormat="1" applyFont="1" applyBorder="1" applyAlignment="1">
      <alignment horizontal="center" vertical="center"/>
    </xf>
    <xf numFmtId="0" fontId="7" fillId="0" borderId="67" xfId="0" applyFont="1" applyFill="1" applyBorder="1" applyAlignment="1"/>
    <xf numFmtId="2" fontId="7" fillId="0" borderId="33" xfId="0" applyNumberFormat="1" applyFont="1" applyBorder="1" applyAlignment="1">
      <alignment horizontal="center"/>
    </xf>
    <xf numFmtId="2" fontId="7" fillId="0" borderId="69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0" fontId="5" fillId="0" borderId="65" xfId="0" applyFont="1" applyFill="1" applyBorder="1"/>
    <xf numFmtId="0" fontId="5" fillId="0" borderId="70" xfId="0" applyFont="1" applyFill="1" applyBorder="1"/>
    <xf numFmtId="0" fontId="1" fillId="0" borderId="70" xfId="0" applyNumberFormat="1" applyFont="1" applyFill="1" applyBorder="1" applyAlignment="1"/>
    <xf numFmtId="0" fontId="7" fillId="0" borderId="63" xfId="0" applyNumberFormat="1" applyFont="1" applyFill="1" applyBorder="1" applyAlignment="1"/>
    <xf numFmtId="0" fontId="1" fillId="0" borderId="70" xfId="0" applyFont="1" applyFill="1" applyBorder="1" applyAlignment="1"/>
    <xf numFmtId="0" fontId="3" fillId="0" borderId="63" xfId="0" applyFont="1" applyFill="1" applyBorder="1" applyAlignment="1"/>
    <xf numFmtId="0" fontId="7" fillId="0" borderId="71" xfId="0" applyFont="1" applyFill="1" applyBorder="1" applyAlignment="1"/>
    <xf numFmtId="0" fontId="1" fillId="0" borderId="70" xfId="0" applyFont="1" applyFill="1" applyBorder="1" applyAlignment="1">
      <alignment vertical="center"/>
    </xf>
    <xf numFmtId="0" fontId="8" fillId="0" borderId="24" xfId="0" applyFont="1" applyFill="1" applyBorder="1"/>
    <xf numFmtId="0" fontId="5" fillId="5" borderId="47" xfId="0" applyFont="1" applyFill="1" applyBorder="1"/>
    <xf numFmtId="0" fontId="5" fillId="5" borderId="44" xfId="0" applyFont="1" applyFill="1" applyBorder="1"/>
    <xf numFmtId="0" fontId="5" fillId="5" borderId="8" xfId="0" applyFont="1" applyFill="1" applyBorder="1"/>
    <xf numFmtId="0" fontId="5" fillId="5" borderId="66" xfId="0" applyFont="1" applyFill="1" applyBorder="1"/>
    <xf numFmtId="1" fontId="7" fillId="0" borderId="18" xfId="0" applyNumberFormat="1" applyFont="1" applyFill="1" applyBorder="1"/>
    <xf numFmtId="1" fontId="5" fillId="0" borderId="61" xfId="0" applyNumberFormat="1" applyFont="1" applyFill="1" applyBorder="1"/>
    <xf numFmtId="1" fontId="5" fillId="0" borderId="17" xfId="0" applyNumberFormat="1" applyFont="1" applyFill="1" applyBorder="1"/>
    <xf numFmtId="1" fontId="5" fillId="0" borderId="60" xfId="0" applyNumberFormat="1" applyFont="1" applyFill="1" applyBorder="1"/>
    <xf numFmtId="2" fontId="7" fillId="0" borderId="40" xfId="0" applyNumberFormat="1" applyFont="1" applyBorder="1" applyAlignment="1">
      <alignment horizontal="center"/>
    </xf>
    <xf numFmtId="0" fontId="7" fillId="0" borderId="53" xfId="0" applyFont="1" applyBorder="1" applyAlignment="1">
      <alignment horizontal="left"/>
    </xf>
    <xf numFmtId="2" fontId="7" fillId="0" borderId="75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7" fillId="0" borderId="7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Fill="1"/>
    <xf numFmtId="0" fontId="7" fillId="5" borderId="72" xfId="0" applyFont="1" applyFill="1" applyBorder="1"/>
    <xf numFmtId="0" fontId="7" fillId="5" borderId="73" xfId="0" applyFont="1" applyFill="1" applyBorder="1"/>
    <xf numFmtId="0" fontId="7" fillId="5" borderId="0" xfId="0" applyFont="1" applyFill="1" applyBorder="1"/>
    <xf numFmtId="0" fontId="7" fillId="5" borderId="33" xfId="0" applyFont="1" applyFill="1" applyBorder="1" applyAlignment="1">
      <alignment horizontal="left"/>
    </xf>
    <xf numFmtId="2" fontId="7" fillId="5" borderId="33" xfId="0" applyNumberFormat="1" applyFont="1" applyFill="1" applyBorder="1" applyAlignment="1">
      <alignment horizontal="center"/>
    </xf>
    <xf numFmtId="0" fontId="7" fillId="5" borderId="33" xfId="0" applyFont="1" applyFill="1" applyBorder="1"/>
    <xf numFmtId="0" fontId="7" fillId="5" borderId="46" xfId="0" applyFont="1" applyFill="1" applyBorder="1"/>
    <xf numFmtId="0" fontId="7" fillId="5" borderId="1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2" fontId="5" fillId="5" borderId="2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24" xfId="0" applyBorder="1"/>
    <xf numFmtId="0" fontId="7" fillId="5" borderId="67" xfId="0" applyFont="1" applyFill="1" applyBorder="1"/>
    <xf numFmtId="1" fontId="7" fillId="7" borderId="14" xfId="0" applyNumberFormat="1" applyFont="1" applyFill="1" applyBorder="1"/>
    <xf numFmtId="1" fontId="7" fillId="5" borderId="14" xfId="0" applyNumberFormat="1" applyFont="1" applyFill="1" applyBorder="1"/>
    <xf numFmtId="49" fontId="7" fillId="5" borderId="63" xfId="0" applyNumberFormat="1" applyFont="1" applyFill="1" applyBorder="1" applyAlignment="1">
      <alignment horizontal="center" vertical="center"/>
    </xf>
    <xf numFmtId="1" fontId="7" fillId="5" borderId="77" xfId="0" applyNumberFormat="1" applyFont="1" applyFill="1" applyBorder="1" applyAlignment="1">
      <alignment horizontal="center"/>
    </xf>
    <xf numFmtId="49" fontId="7" fillId="5" borderId="79" xfId="0" applyNumberFormat="1" applyFont="1" applyFill="1" applyBorder="1" applyAlignment="1">
      <alignment horizontal="center" vertical="center"/>
    </xf>
    <xf numFmtId="1" fontId="7" fillId="5" borderId="78" xfId="0" applyNumberFormat="1" applyFont="1" applyFill="1" applyBorder="1" applyAlignment="1">
      <alignment horizontal="center"/>
    </xf>
    <xf numFmtId="0" fontId="7" fillId="5" borderId="49" xfId="0" applyFont="1" applyFill="1" applyBorder="1" applyAlignment="1">
      <alignment horizontal="left"/>
    </xf>
    <xf numFmtId="2" fontId="7" fillId="5" borderId="4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" fontId="5" fillId="0" borderId="80" xfId="0" applyNumberFormat="1" applyFont="1" applyFill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1" fontId="5" fillId="0" borderId="85" xfId="0" applyNumberFormat="1" applyFont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" fontId="7" fillId="0" borderId="87" xfId="0" applyNumberFormat="1" applyFont="1" applyBorder="1" applyAlignment="1">
      <alignment horizontal="center"/>
    </xf>
    <xf numFmtId="1" fontId="3" fillId="0" borderId="86" xfId="0" applyNumberFormat="1" applyFont="1" applyBorder="1" applyAlignment="1">
      <alignment horizontal="center"/>
    </xf>
    <xf numFmtId="1" fontId="3" fillId="0" borderId="88" xfId="0" applyNumberFormat="1" applyFont="1" applyBorder="1" applyAlignment="1">
      <alignment horizontal="center"/>
    </xf>
    <xf numFmtId="1" fontId="5" fillId="0" borderId="85" xfId="0" applyNumberFormat="1" applyFont="1" applyBorder="1" applyAlignment="1">
      <alignment horizontal="center" vertical="center"/>
    </xf>
    <xf numFmtId="1" fontId="7" fillId="0" borderId="82" xfId="0" applyNumberFormat="1" applyFont="1" applyBorder="1" applyAlignment="1">
      <alignment horizontal="center"/>
    </xf>
    <xf numFmtId="1" fontId="7" fillId="0" borderId="88" xfId="0" applyNumberFormat="1" applyFont="1" applyBorder="1" applyAlignment="1">
      <alignment horizontal="center"/>
    </xf>
    <xf numFmtId="1" fontId="5" fillId="0" borderId="81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9" xfId="0" applyNumberFormat="1" applyFont="1" applyBorder="1" applyAlignment="1">
      <alignment horizontal="center"/>
    </xf>
    <xf numFmtId="1" fontId="7" fillId="0" borderId="90" xfId="0" applyNumberFormat="1" applyFont="1" applyBorder="1" applyAlignment="1">
      <alignment horizontal="center"/>
    </xf>
    <xf numFmtId="1" fontId="5" fillId="5" borderId="80" xfId="0" applyNumberFormat="1" applyFont="1" applyFill="1" applyBorder="1" applyAlignment="1">
      <alignment horizontal="center"/>
    </xf>
    <xf numFmtId="49" fontId="7" fillId="5" borderId="91" xfId="0" applyNumberFormat="1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left"/>
    </xf>
    <xf numFmtId="2" fontId="7" fillId="5" borderId="92" xfId="0" applyNumberFormat="1" applyFont="1" applyFill="1" applyBorder="1" applyAlignment="1">
      <alignment horizontal="center"/>
    </xf>
    <xf numFmtId="1" fontId="7" fillId="5" borderId="84" xfId="0" applyNumberFormat="1" applyFont="1" applyFill="1" applyBorder="1" applyAlignment="1">
      <alignment horizontal="center"/>
    </xf>
    <xf numFmtId="0" fontId="7" fillId="5" borderId="60" xfId="0" applyFont="1" applyFill="1" applyBorder="1" applyAlignment="1">
      <alignment horizontal="center"/>
    </xf>
    <xf numFmtId="0" fontId="1" fillId="5" borderId="68" xfId="0" applyNumberFormat="1" applyFont="1" applyFill="1" applyBorder="1" applyAlignment="1">
      <alignment horizontal="center" vertical="center"/>
    </xf>
    <xf numFmtId="0" fontId="5" fillId="5" borderId="93" xfId="0" applyFont="1" applyFill="1" applyBorder="1" applyAlignment="1">
      <alignment horizontal="left"/>
    </xf>
    <xf numFmtId="2" fontId="1" fillId="5" borderId="59" xfId="0" applyNumberFormat="1" applyFont="1" applyFill="1" applyBorder="1" applyAlignment="1">
      <alignment horizontal="center"/>
    </xf>
    <xf numFmtId="1" fontId="5" fillId="5" borderId="94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" fontId="7" fillId="7" borderId="60" xfId="0" applyNumberFormat="1" applyFont="1" applyFill="1" applyBorder="1"/>
    <xf numFmtId="1" fontId="7" fillId="5" borderId="60" xfId="0" applyNumberFormat="1" applyFont="1" applyFill="1" applyBorder="1"/>
    <xf numFmtId="0" fontId="5" fillId="5" borderId="39" xfId="0" applyFont="1" applyFill="1" applyBorder="1"/>
    <xf numFmtId="1" fontId="5" fillId="7" borderId="17" xfId="0" applyNumberFormat="1" applyFont="1" applyFill="1" applyBorder="1"/>
    <xf numFmtId="1" fontId="5" fillId="5" borderId="17" xfId="0" applyNumberFormat="1" applyFont="1" applyFill="1" applyBorder="1"/>
    <xf numFmtId="0" fontId="5" fillId="5" borderId="95" xfId="0" applyFont="1" applyFill="1" applyBorder="1"/>
    <xf numFmtId="0" fontId="5" fillId="5" borderId="45" xfId="0" applyFont="1" applyFill="1" applyBorder="1"/>
    <xf numFmtId="0" fontId="7" fillId="0" borderId="90" xfId="0" applyFont="1" applyFill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/>
    </xf>
    <xf numFmtId="1" fontId="7" fillId="0" borderId="78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7" borderId="33" xfId="0" applyFont="1" applyFill="1" applyBorder="1"/>
    <xf numFmtId="0" fontId="7" fillId="7" borderId="67" xfId="0" applyFont="1" applyFill="1" applyBorder="1"/>
    <xf numFmtId="0" fontId="11" fillId="0" borderId="29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90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5" fillId="7" borderId="96" xfId="0" applyFont="1" applyFill="1" applyBorder="1"/>
    <xf numFmtId="0" fontId="12" fillId="0" borderId="0" xfId="0" applyFont="1"/>
    <xf numFmtId="1" fontId="7" fillId="0" borderId="86" xfId="0" applyNumberFormat="1" applyFont="1" applyFill="1" applyBorder="1" applyAlignment="1">
      <alignment horizontal="center"/>
    </xf>
    <xf numFmtId="1" fontId="5" fillId="0" borderId="13" xfId="0" applyNumberFormat="1" applyFont="1" applyFill="1" applyBorder="1"/>
    <xf numFmtId="0" fontId="7" fillId="7" borderId="33" xfId="0" applyFont="1" applyFill="1" applyBorder="1" applyAlignment="1">
      <alignment horizontal="left"/>
    </xf>
    <xf numFmtId="164" fontId="7" fillId="0" borderId="33" xfId="0" applyNumberFormat="1" applyFont="1" applyFill="1" applyBorder="1" applyAlignment="1"/>
    <xf numFmtId="0" fontId="11" fillId="0" borderId="33" xfId="0" applyFont="1" applyFill="1" applyBorder="1" applyAlignment="1"/>
    <xf numFmtId="0" fontId="5" fillId="4" borderId="13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5" fillId="3" borderId="6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S66" sqref="S66"/>
    </sheetView>
  </sheetViews>
  <sheetFormatPr defaultRowHeight="12.75" outlineLevelRow="2"/>
  <cols>
    <col min="1" max="1" width="6.7109375" bestFit="1" customWidth="1"/>
    <col min="2" max="2" width="80.85546875" bestFit="1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10.5703125" customWidth="1"/>
    <col min="8" max="8" width="10.42578125" customWidth="1"/>
    <col min="9" max="9" width="10.28515625" customWidth="1"/>
    <col min="10" max="10" width="9.28515625" customWidth="1"/>
    <col min="11" max="11" width="10.42578125" customWidth="1"/>
    <col min="12" max="17" width="8.85546875" customWidth="1"/>
    <col min="18" max="18" width="10.7109375" bestFit="1" customWidth="1"/>
    <col min="19" max="19" width="9.7109375" customWidth="1"/>
  </cols>
  <sheetData>
    <row r="1" spans="1:21">
      <c r="A1" s="267" t="s">
        <v>0</v>
      </c>
      <c r="B1" s="267"/>
      <c r="C1" s="267"/>
      <c r="D1" s="267"/>
      <c r="E1" s="267"/>
    </row>
    <row r="2" spans="1:21" ht="13.5" thickBot="1">
      <c r="A2" s="267" t="s">
        <v>192</v>
      </c>
      <c r="B2" s="267"/>
      <c r="C2" s="267"/>
      <c r="D2" s="267"/>
      <c r="E2" s="267"/>
    </row>
    <row r="3" spans="1:21" ht="13.5" thickBot="1">
      <c r="A3" s="268"/>
      <c r="B3" s="268"/>
      <c r="C3" s="268"/>
      <c r="D3" s="268"/>
      <c r="E3" s="268"/>
      <c r="F3" s="265" t="s">
        <v>201</v>
      </c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107"/>
      <c r="T3" s="262" t="s">
        <v>43</v>
      </c>
      <c r="U3" s="262" t="s">
        <v>44</v>
      </c>
    </row>
    <row r="4" spans="1:21" ht="52.15" customHeight="1" thickBot="1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90" t="s">
        <v>202</v>
      </c>
      <c r="G4" s="87" t="s">
        <v>89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90" t="s">
        <v>203</v>
      </c>
      <c r="T4" s="263"/>
      <c r="U4" s="263"/>
    </row>
    <row r="5" spans="1:21" ht="13.5" thickBot="1">
      <c r="A5" s="26">
        <v>1</v>
      </c>
      <c r="B5" s="6" t="s">
        <v>106</v>
      </c>
      <c r="C5" s="36">
        <f>D5/D82</f>
        <v>5.3190443804342031</v>
      </c>
      <c r="D5" s="203">
        <f t="shared" ref="D5:D42" si="0">E5/12</f>
        <v>132954.83333333334</v>
      </c>
      <c r="E5" s="64">
        <v>1595458</v>
      </c>
      <c r="F5" s="176">
        <v>4132</v>
      </c>
      <c r="G5" s="127">
        <f>48460+25613+67588</f>
        <v>141661</v>
      </c>
      <c r="H5" s="127">
        <f>33802+69914</f>
        <v>103716</v>
      </c>
      <c r="I5" s="127">
        <f>39892+39892+3480+22114+22114</f>
        <v>127492</v>
      </c>
      <c r="J5" s="127">
        <f>41292+39892+39892</f>
        <v>121076</v>
      </c>
      <c r="K5" s="127">
        <f>34502+7000+28204+22114+5936+364</f>
        <v>98120</v>
      </c>
      <c r="L5" s="127">
        <f>44724+35760+35128+6300</f>
        <v>121912</v>
      </c>
      <c r="M5" s="127">
        <f>44709+40842+26647+8447+6300+4567</f>
        <v>131512</v>
      </c>
      <c r="N5" s="127">
        <f>40892+34924+32083+4000+6300+17547+4567</f>
        <v>140313</v>
      </c>
      <c r="O5" s="127">
        <f>40842+58846+17547+17547+6300</f>
        <v>141082</v>
      </c>
      <c r="P5" s="127">
        <f>30790+10440+31292+9352+4567+18200+20765+15145+5600</f>
        <v>146151</v>
      </c>
      <c r="Q5" s="127">
        <f>35872+38588+4567+17547+4568+17400+4568+17547+5950+12616</f>
        <v>159223</v>
      </c>
      <c r="R5" s="127">
        <f>52120+4568+34636+23800+25304+4567+17547+4930+5950+7158.52-7268</f>
        <v>173312.52</v>
      </c>
      <c r="S5" s="128"/>
      <c r="T5" s="129">
        <f>SUM(G5:S5)</f>
        <v>1605570.52</v>
      </c>
      <c r="U5" s="258">
        <f>E5-T5</f>
        <v>-10112.520000000019</v>
      </c>
    </row>
    <row r="6" spans="1:21" ht="13.5" thickBot="1">
      <c r="A6" s="26">
        <v>2</v>
      </c>
      <c r="B6" s="6" t="s">
        <v>117</v>
      </c>
      <c r="C6" s="36">
        <f>D6/D82</f>
        <v>0.81793086893903022</v>
      </c>
      <c r="D6" s="203">
        <f t="shared" si="0"/>
        <v>20445</v>
      </c>
      <c r="E6" s="64">
        <v>245340</v>
      </c>
      <c r="F6" s="156"/>
      <c r="G6" s="91">
        <v>20010</v>
      </c>
      <c r="H6" s="91"/>
      <c r="I6" s="91">
        <v>20890</v>
      </c>
      <c r="J6" s="91">
        <f>20445+20890</f>
        <v>41335</v>
      </c>
      <c r="K6" s="91"/>
      <c r="L6" s="91">
        <v>20445</v>
      </c>
      <c r="M6" s="91">
        <v>20445</v>
      </c>
      <c r="N6" s="91">
        <v>20445</v>
      </c>
      <c r="O6" s="91">
        <v>20445</v>
      </c>
      <c r="P6" s="91">
        <v>20445</v>
      </c>
      <c r="Q6" s="91">
        <v>20445</v>
      </c>
      <c r="R6" s="91">
        <f>20445+20445</f>
        <v>40890</v>
      </c>
      <c r="S6" s="130"/>
      <c r="T6" s="129">
        <f>SUM(G6:S6)</f>
        <v>245795</v>
      </c>
      <c r="U6" s="258">
        <f>E6-T6</f>
        <v>-455</v>
      </c>
    </row>
    <row r="7" spans="1:21" ht="13.5" thickBot="1">
      <c r="A7" s="26">
        <v>3</v>
      </c>
      <c r="B7" s="6" t="s">
        <v>118</v>
      </c>
      <c r="C7" s="36">
        <f>D7/D82</f>
        <v>2.1520159892249424</v>
      </c>
      <c r="D7" s="203">
        <f>E7/12</f>
        <v>53791.791666666664</v>
      </c>
      <c r="E7" s="64">
        <v>645501.5</v>
      </c>
      <c r="F7" s="119">
        <f>25341+33533+260</f>
        <v>59134</v>
      </c>
      <c r="G7" s="92"/>
      <c r="H7" s="92">
        <f>21248+32689+327</f>
        <v>54264</v>
      </c>
      <c r="I7" s="92">
        <f>327+32689+21248</f>
        <v>54264</v>
      </c>
      <c r="J7" s="92">
        <f>21248+32689</f>
        <v>53937</v>
      </c>
      <c r="K7" s="91">
        <f>327+32689+21248</f>
        <v>54264</v>
      </c>
      <c r="L7" s="92">
        <f>273+20409+12.48+98.87</f>
        <v>20793.349999999999</v>
      </c>
      <c r="M7" s="92">
        <f>273+27310+20409</f>
        <v>47992</v>
      </c>
      <c r="N7" s="92">
        <f>273+27310+20409</f>
        <v>47992</v>
      </c>
      <c r="O7" s="92">
        <f>371+24099+37075+3.25</f>
        <v>61548.25</v>
      </c>
      <c r="P7" s="92">
        <f>391+25396+39071</f>
        <v>64858</v>
      </c>
      <c r="Q7" s="91">
        <f>300+400+26020+40031</f>
        <v>66751</v>
      </c>
      <c r="R7" s="91">
        <f>3.21+20+120.37+12.4+392+28592+39288</f>
        <v>68427.98</v>
      </c>
      <c r="S7" s="119">
        <f>250+17818+24997</f>
        <v>43065</v>
      </c>
      <c r="T7" s="23">
        <f>SUM(G7:S7)</f>
        <v>638156.57999999996</v>
      </c>
      <c r="U7" s="146">
        <f>E7-T7</f>
        <v>7344.9200000000419</v>
      </c>
    </row>
    <row r="8" spans="1:21" ht="13.5" thickBot="1">
      <c r="A8" s="26">
        <v>4</v>
      </c>
      <c r="B8" s="6" t="s">
        <v>105</v>
      </c>
      <c r="C8" s="36">
        <f>D8/D82</f>
        <v>0.26670934016109243</v>
      </c>
      <c r="D8" s="203">
        <f t="shared" si="0"/>
        <v>6666.666666666667</v>
      </c>
      <c r="E8" s="64">
        <v>80000</v>
      </c>
      <c r="F8" s="148"/>
      <c r="G8" s="91">
        <f>1188.8+420+91+60+306+328+153.04+300+650+60+305.6+420+300+304+4.79+4.79+33.97+44.71+44.71+317.03+60</f>
        <v>5396.4400000000005</v>
      </c>
      <c r="H8" s="91">
        <f>799.62+360+60+657.6+180+144+80+180+184+486+650+300+49.5+49.5+351</f>
        <v>4531.2199999999993</v>
      </c>
      <c r="I8" s="91">
        <f>472+300+1160+360+272+180+180+288+152+726+144+368+9.58+9.58+67.94+89.42+89.42+240+634.06</f>
        <v>5742</v>
      </c>
      <c r="J8" s="91">
        <f>208+488+120+240+376+60+528+786+180+650+216+300+60+6.6+46.8+92.4+92.4+420+1253.04+655.2</f>
        <v>6778.44</v>
      </c>
      <c r="K8" s="91">
        <f>1072+120+546+650+300+659.2+120+180+9.58+9.58+67.94+89.42+89.42+634.06</f>
        <v>4547.2</v>
      </c>
      <c r="L8" s="91">
        <f>360+288+180+120+60+60+432+216+650+786+240+123.2+306+180+249.6+6.6+6.6+46.8+92.4+92.4+300+655.2+36+3268.71</f>
        <v>8755.51</v>
      </c>
      <c r="M8" s="91">
        <f>60+257.6+120+224+177.6+306+60+60+304+306+650+344+120+120+9.58+9.58+67.94+89.42+89.42+634.06</f>
        <v>4009.2</v>
      </c>
      <c r="N8" s="91">
        <f>240+200+224+360+360+300+440+60+352+650+786+240+180+9.58+9.85+60+67.94+89.42+89.42+634.06</f>
        <v>5352.27</v>
      </c>
      <c r="O8" s="91">
        <f>650+360+276.8+240+472+120+222.4+360+304+546+650+60+152+180+60+126+220.8+6.6+6.6+46.8+92.4+92.4+240+655.2</f>
        <v>6140.0000000000009</v>
      </c>
      <c r="P8" s="91">
        <f>219.2+120+208+144+240+300+120+220.8+180+176+650+786+998.52+60+246+208+60+9.58+9.58+67.94+89.42+89.42+634.06</f>
        <v>5836.52</v>
      </c>
      <c r="Q8" s="91">
        <f>60+183.2+256+384+120+471.2+180+168+380.43+426+650+120+120+376+6.6+6.6+46.8+92.4+92.4+655.2</f>
        <v>4794.83</v>
      </c>
      <c r="R8" s="91">
        <f>360+528+6+360+60+132.8+300+434.5+650+300+488+120+296+726+248+237.35+248+480+120+9.58+9.58+67.94+89.42+89.42+634.06</f>
        <v>6994.65</v>
      </c>
      <c r="S8" s="119">
        <f>650+318.79</f>
        <v>968.79</v>
      </c>
      <c r="T8" s="23">
        <f t="shared" ref="T8:T18" si="1">SUM(G8:S8)</f>
        <v>69847.069999999992</v>
      </c>
      <c r="U8" s="23">
        <f t="shared" ref="U8:U68" si="2">E8-T8</f>
        <v>10152.930000000008</v>
      </c>
    </row>
    <row r="9" spans="1:21">
      <c r="A9" s="137">
        <v>5</v>
      </c>
      <c r="B9" s="7" t="s">
        <v>5</v>
      </c>
      <c r="C9" s="37">
        <f>D9/D82</f>
        <v>7.6678935296314074E-2</v>
      </c>
      <c r="D9" s="204">
        <f t="shared" si="0"/>
        <v>1916.6666666666667</v>
      </c>
      <c r="E9" s="65">
        <f>E10+E11</f>
        <v>23000</v>
      </c>
      <c r="F9" s="149">
        <f>SUM(F10:F11)</f>
        <v>165</v>
      </c>
      <c r="G9" s="86">
        <f>SUM(G10:G11)</f>
        <v>1725.1599999999999</v>
      </c>
      <c r="H9" s="86">
        <f>SUM(H10:H11)</f>
        <v>1779.88</v>
      </c>
      <c r="I9" s="86">
        <f>SUM(I10:I11)</f>
        <v>3257.1</v>
      </c>
      <c r="J9" s="86">
        <f t="shared" ref="J9:S9" si="3">SUM(J10:J11)</f>
        <v>3444.5</v>
      </c>
      <c r="K9" s="86">
        <f t="shared" si="3"/>
        <v>2452.08</v>
      </c>
      <c r="L9" s="86">
        <f t="shared" si="3"/>
        <v>2096.0500000000002</v>
      </c>
      <c r="M9" s="86">
        <f t="shared" si="3"/>
        <v>0</v>
      </c>
      <c r="N9" s="86">
        <f t="shared" si="3"/>
        <v>2636.12</v>
      </c>
      <c r="O9" s="86">
        <f t="shared" si="3"/>
        <v>5779.55</v>
      </c>
      <c r="P9" s="86">
        <f t="shared" si="3"/>
        <v>3727.2000000000003</v>
      </c>
      <c r="Q9" s="86">
        <f t="shared" si="3"/>
        <v>2053.5299999999997</v>
      </c>
      <c r="R9" s="86">
        <f t="shared" si="3"/>
        <v>1851.54</v>
      </c>
      <c r="S9" s="86">
        <f t="shared" si="3"/>
        <v>351.35</v>
      </c>
      <c r="T9" s="24">
        <f t="shared" si="1"/>
        <v>31154.059999999998</v>
      </c>
      <c r="U9" s="24">
        <f t="shared" si="2"/>
        <v>-8154.0599999999977</v>
      </c>
    </row>
    <row r="10" spans="1:21" s="55" customFormat="1" ht="12" outlineLevel="1">
      <c r="A10" s="31" t="s">
        <v>45</v>
      </c>
      <c r="B10" s="43" t="s">
        <v>96</v>
      </c>
      <c r="C10" s="44">
        <f>D10/D82</f>
        <v>6.6677335040273109E-2</v>
      </c>
      <c r="D10" s="205">
        <f t="shared" si="0"/>
        <v>1666.6666666666667</v>
      </c>
      <c r="E10" s="47">
        <v>20000</v>
      </c>
      <c r="F10" s="120"/>
      <c r="G10" s="93">
        <f>11.8+1713.36</f>
        <v>1725.1599999999999</v>
      </c>
      <c r="H10" s="93">
        <f>17.7+1741.68</f>
        <v>1759.38</v>
      </c>
      <c r="I10" s="93">
        <f>20+2000</f>
        <v>2020</v>
      </c>
      <c r="J10" s="93">
        <f>60+2000</f>
        <v>2060</v>
      </c>
      <c r="K10" s="93">
        <f>2000+71+381.08</f>
        <v>2452.08</v>
      </c>
      <c r="L10" s="93">
        <f>167.77+1928.28</f>
        <v>2096.0500000000002</v>
      </c>
      <c r="M10" s="93"/>
      <c r="N10" s="93">
        <f>53.1+2583.02</f>
        <v>2636.12</v>
      </c>
      <c r="O10" s="93">
        <f>96.29+5560.16</f>
        <v>5656.45</v>
      </c>
      <c r="P10" s="93">
        <f>11.8+3715.4</f>
        <v>3727.2000000000003</v>
      </c>
      <c r="Q10" s="93">
        <f>159.41+1869.12</f>
        <v>2028.53</v>
      </c>
      <c r="R10" s="93">
        <f>1779.44+29.5</f>
        <v>1808.94</v>
      </c>
      <c r="S10" s="120">
        <f>288.48+62.87</f>
        <v>351.35</v>
      </c>
      <c r="T10" s="54">
        <f t="shared" si="1"/>
        <v>28321.259999999995</v>
      </c>
      <c r="U10" s="54">
        <f t="shared" si="2"/>
        <v>-8321.2599999999948</v>
      </c>
    </row>
    <row r="11" spans="1:21" s="55" customFormat="1" outlineLevel="1" thickBot="1">
      <c r="A11" s="31" t="s">
        <v>46</v>
      </c>
      <c r="B11" s="50" t="s">
        <v>6</v>
      </c>
      <c r="C11" s="51">
        <f>D11/D82</f>
        <v>1.0001600256040967E-2</v>
      </c>
      <c r="D11" s="206">
        <f t="shared" si="0"/>
        <v>250</v>
      </c>
      <c r="E11" s="66">
        <v>3000</v>
      </c>
      <c r="F11" s="121">
        <v>165</v>
      </c>
      <c r="G11" s="94"/>
      <c r="H11" s="94">
        <f>20.5</f>
        <v>20.5</v>
      </c>
      <c r="I11" s="94">
        <f>500+671.5+65.6</f>
        <v>1237.0999999999999</v>
      </c>
      <c r="J11" s="94">
        <f>184.5+1200</f>
        <v>1384.5</v>
      </c>
      <c r="K11" s="94"/>
      <c r="L11" s="94"/>
      <c r="M11" s="94"/>
      <c r="N11" s="94"/>
      <c r="O11" s="94">
        <v>123.1</v>
      </c>
      <c r="P11" s="94"/>
      <c r="Q11" s="94">
        <v>25</v>
      </c>
      <c r="R11" s="94">
        <v>42.6</v>
      </c>
      <c r="S11" s="121"/>
      <c r="T11" s="54">
        <f t="shared" si="1"/>
        <v>2832.7999999999997</v>
      </c>
      <c r="U11" s="67">
        <f t="shared" si="2"/>
        <v>167.20000000000027</v>
      </c>
    </row>
    <row r="12" spans="1:21">
      <c r="A12" s="27" t="s">
        <v>107</v>
      </c>
      <c r="B12" s="7" t="s">
        <v>7</v>
      </c>
      <c r="C12" s="37">
        <f>D12/D82</f>
        <v>0.22003520563290127</v>
      </c>
      <c r="D12" s="204">
        <f t="shared" si="0"/>
        <v>5500</v>
      </c>
      <c r="E12" s="65">
        <f>E13+E14</f>
        <v>66000</v>
      </c>
      <c r="F12" s="150">
        <f t="shared" ref="F12:S12" si="4">SUM(F13:F14)</f>
        <v>0</v>
      </c>
      <c r="G12" s="69">
        <f t="shared" si="4"/>
        <v>4500</v>
      </c>
      <c r="H12" s="69">
        <f>SUM(H13:H14)</f>
        <v>5000</v>
      </c>
      <c r="I12" s="69">
        <f t="shared" si="4"/>
        <v>5500</v>
      </c>
      <c r="J12" s="69">
        <f t="shared" si="4"/>
        <v>5000</v>
      </c>
      <c r="K12" s="69">
        <f t="shared" si="4"/>
        <v>5000</v>
      </c>
      <c r="L12" s="69">
        <f t="shared" si="4"/>
        <v>5000</v>
      </c>
      <c r="M12" s="69">
        <f t="shared" si="4"/>
        <v>5000</v>
      </c>
      <c r="N12" s="69">
        <f t="shared" si="4"/>
        <v>5000</v>
      </c>
      <c r="O12" s="69">
        <f t="shared" si="4"/>
        <v>5000</v>
      </c>
      <c r="P12" s="69">
        <f t="shared" si="4"/>
        <v>5000</v>
      </c>
      <c r="Q12" s="69">
        <f t="shared" si="4"/>
        <v>5000</v>
      </c>
      <c r="R12" s="69">
        <f t="shared" si="4"/>
        <v>5000</v>
      </c>
      <c r="S12" s="69">
        <f t="shared" si="4"/>
        <v>0</v>
      </c>
      <c r="T12" s="24">
        <f t="shared" si="1"/>
        <v>60000</v>
      </c>
      <c r="U12" s="24">
        <f t="shared" si="2"/>
        <v>6000</v>
      </c>
    </row>
    <row r="13" spans="1:21" s="55" customFormat="1" ht="12" outlineLevel="1">
      <c r="A13" s="31" t="s">
        <v>131</v>
      </c>
      <c r="B13" s="68" t="s">
        <v>8</v>
      </c>
      <c r="C13" s="44">
        <f>D13/D82</f>
        <v>0.20003200512081934</v>
      </c>
      <c r="D13" s="257">
        <f t="shared" si="0"/>
        <v>5000</v>
      </c>
      <c r="E13" s="47">
        <v>60000</v>
      </c>
      <c r="F13" s="151"/>
      <c r="G13" s="70">
        <v>4500</v>
      </c>
      <c r="H13" s="70">
        <v>5000</v>
      </c>
      <c r="I13" s="70">
        <v>5500</v>
      </c>
      <c r="J13" s="70">
        <v>5000</v>
      </c>
      <c r="K13" s="70">
        <v>5000</v>
      </c>
      <c r="L13" s="70">
        <v>5000</v>
      </c>
      <c r="M13" s="70">
        <v>5000</v>
      </c>
      <c r="N13" s="70">
        <v>5000</v>
      </c>
      <c r="O13" s="70">
        <v>5000</v>
      </c>
      <c r="P13" s="70">
        <v>5000</v>
      </c>
      <c r="Q13" s="70">
        <v>5000</v>
      </c>
      <c r="R13" s="70">
        <v>5000</v>
      </c>
      <c r="S13" s="122"/>
      <c r="T13" s="54">
        <f t="shared" si="1"/>
        <v>60000</v>
      </c>
      <c r="U13" s="54">
        <f t="shared" si="2"/>
        <v>0</v>
      </c>
    </row>
    <row r="14" spans="1:21" s="55" customFormat="1" outlineLevel="1" thickBot="1">
      <c r="A14" s="31" t="s">
        <v>132</v>
      </c>
      <c r="B14" s="43" t="s">
        <v>9</v>
      </c>
      <c r="C14" s="44">
        <f>D14/D82</f>
        <v>2.0003200512081935E-2</v>
      </c>
      <c r="D14" s="205">
        <f t="shared" si="0"/>
        <v>500</v>
      </c>
      <c r="E14" s="47">
        <v>6000</v>
      </c>
      <c r="F14" s="15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52">
        <f t="shared" si="1"/>
        <v>0</v>
      </c>
      <c r="U14" s="54">
        <f t="shared" si="2"/>
        <v>6000</v>
      </c>
    </row>
    <row r="15" spans="1:21" ht="13.5" thickBot="1">
      <c r="A15" s="28" t="s">
        <v>108</v>
      </c>
      <c r="B15" s="6" t="s">
        <v>11</v>
      </c>
      <c r="C15" s="36">
        <f>D15/D82</f>
        <v>2.8337867392116075E-2</v>
      </c>
      <c r="D15" s="203">
        <f t="shared" si="0"/>
        <v>708.33333333333337</v>
      </c>
      <c r="E15" s="64">
        <v>8500</v>
      </c>
      <c r="F15" s="148"/>
      <c r="G15" s="91"/>
      <c r="H15" s="91"/>
      <c r="I15" s="91"/>
      <c r="J15" s="91"/>
      <c r="K15" s="91"/>
      <c r="L15" s="91"/>
      <c r="M15" s="91">
        <v>2264</v>
      </c>
      <c r="N15" s="91"/>
      <c r="O15" s="91">
        <v>9082</v>
      </c>
      <c r="P15" s="91"/>
      <c r="Q15" s="91"/>
      <c r="R15" s="91"/>
      <c r="S15" s="130"/>
      <c r="T15" s="23">
        <f>SUM(G15:S15)</f>
        <v>11346</v>
      </c>
      <c r="U15" s="23">
        <f t="shared" si="2"/>
        <v>-2846</v>
      </c>
    </row>
    <row r="16" spans="1:21">
      <c r="A16" s="27" t="s">
        <v>109</v>
      </c>
      <c r="B16" s="7" t="s">
        <v>69</v>
      </c>
      <c r="C16" s="37">
        <f>D16/D82</f>
        <v>0.17436123113031418</v>
      </c>
      <c r="D16" s="204">
        <f t="shared" si="0"/>
        <v>4358.333333333333</v>
      </c>
      <c r="E16" s="65">
        <f>SUM(E17:E19)</f>
        <v>52300</v>
      </c>
      <c r="F16" s="152">
        <f t="shared" ref="F16:S16" si="5">SUM(F17:F19)</f>
        <v>1853.5</v>
      </c>
      <c r="G16" s="71">
        <f t="shared" si="5"/>
        <v>15859.5</v>
      </c>
      <c r="H16" s="71">
        <f t="shared" si="5"/>
        <v>6356.81</v>
      </c>
      <c r="I16" s="71">
        <f t="shared" si="5"/>
        <v>7860</v>
      </c>
      <c r="J16" s="71">
        <f t="shared" si="5"/>
        <v>4483</v>
      </c>
      <c r="K16" s="71">
        <f t="shared" si="5"/>
        <v>3490</v>
      </c>
      <c r="L16" s="71">
        <f t="shared" si="5"/>
        <v>3911</v>
      </c>
      <c r="M16" s="71">
        <f t="shared" si="5"/>
        <v>105</v>
      </c>
      <c r="N16" s="71">
        <f t="shared" si="5"/>
        <v>25411</v>
      </c>
      <c r="O16" s="71">
        <f t="shared" si="5"/>
        <v>715</v>
      </c>
      <c r="P16" s="71">
        <f t="shared" si="5"/>
        <v>5411.8</v>
      </c>
      <c r="Q16" s="71">
        <f t="shared" si="5"/>
        <v>6349</v>
      </c>
      <c r="R16" s="71">
        <f t="shared" si="5"/>
        <v>20208.2</v>
      </c>
      <c r="S16" s="108">
        <f t="shared" si="5"/>
        <v>21778</v>
      </c>
      <c r="T16" s="24">
        <f t="shared" si="1"/>
        <v>121938.31</v>
      </c>
      <c r="U16" s="24">
        <f t="shared" si="2"/>
        <v>-69638.31</v>
      </c>
    </row>
    <row r="17" spans="1:21" s="55" customFormat="1" ht="12.75" customHeight="1" outlineLevel="1">
      <c r="A17" s="31" t="s">
        <v>47</v>
      </c>
      <c r="B17" s="43" t="s">
        <v>88</v>
      </c>
      <c r="C17" s="44">
        <f>D17/D82</f>
        <v>6.6677335040273109E-2</v>
      </c>
      <c r="D17" s="205">
        <f t="shared" si="0"/>
        <v>1666.6666666666667</v>
      </c>
      <c r="E17" s="47">
        <v>20000</v>
      </c>
      <c r="F17" s="126">
        <v>1853.5</v>
      </c>
      <c r="G17" s="73">
        <f>1130+293.5+430+160</f>
        <v>2013.5</v>
      </c>
      <c r="H17" s="73">
        <f>4578.81+229+229</f>
        <v>5036.8100000000004</v>
      </c>
      <c r="I17" s="73">
        <f>760+4100</f>
        <v>4860</v>
      </c>
      <c r="J17" s="73">
        <f>3152+489+90+152</f>
        <v>3883</v>
      </c>
      <c r="K17" s="73">
        <f>150</f>
        <v>150</v>
      </c>
      <c r="L17" s="73">
        <v>2611</v>
      </c>
      <c r="M17" s="73">
        <f>105</f>
        <v>105</v>
      </c>
      <c r="N17" s="73">
        <f>3133+72</f>
        <v>3205</v>
      </c>
      <c r="O17" s="73">
        <v>115</v>
      </c>
      <c r="P17" s="73">
        <f>440+4971.8</f>
        <v>5411.8</v>
      </c>
      <c r="Q17" s="73"/>
      <c r="R17" s="73">
        <f>5158.2+4750</f>
        <v>9908.2000000000007</v>
      </c>
      <c r="S17" s="110"/>
      <c r="T17" s="54">
        <f t="shared" si="1"/>
        <v>37299.31</v>
      </c>
      <c r="U17" s="54">
        <f t="shared" si="2"/>
        <v>-17299.309999999998</v>
      </c>
    </row>
    <row r="18" spans="1:21" s="55" customFormat="1" ht="12" outlineLevel="1">
      <c r="A18" s="31" t="s">
        <v>48</v>
      </c>
      <c r="B18" s="43" t="s">
        <v>72</v>
      </c>
      <c r="C18" s="44">
        <f>D18/D82</f>
        <v>2.6670934016109243E-2</v>
      </c>
      <c r="D18" s="205">
        <f t="shared" si="0"/>
        <v>666.66666666666663</v>
      </c>
      <c r="E18" s="47">
        <v>8000</v>
      </c>
      <c r="F18" s="126"/>
      <c r="G18" s="73">
        <v>1000</v>
      </c>
      <c r="H18" s="73"/>
      <c r="I18" s="73">
        <v>3000</v>
      </c>
      <c r="J18" s="73">
        <v>600</v>
      </c>
      <c r="K18" s="73">
        <v>2150</v>
      </c>
      <c r="L18" s="73">
        <v>1300</v>
      </c>
      <c r="M18" s="123"/>
      <c r="N18" s="73">
        <f>370</f>
        <v>370</v>
      </c>
      <c r="O18" s="73">
        <v>600</v>
      </c>
      <c r="P18" s="73"/>
      <c r="Q18" s="73">
        <f>1850+3000+400</f>
        <v>5250</v>
      </c>
      <c r="R18" s="73">
        <f>1000+400+2000</f>
        <v>3400</v>
      </c>
      <c r="S18" s="110">
        <f>300+1570</f>
        <v>1870</v>
      </c>
      <c r="T18" s="54">
        <f t="shared" si="1"/>
        <v>19540</v>
      </c>
      <c r="U18" s="54">
        <f t="shared" si="2"/>
        <v>-11540</v>
      </c>
    </row>
    <row r="19" spans="1:21" s="55" customFormat="1" ht="12" outlineLevel="1">
      <c r="A19" s="31" t="s">
        <v>49</v>
      </c>
      <c r="B19" s="43" t="s">
        <v>68</v>
      </c>
      <c r="C19" s="44">
        <f>D19/D82</f>
        <v>8.1012962073931827E-2</v>
      </c>
      <c r="D19" s="205">
        <f t="shared" si="0"/>
        <v>2025</v>
      </c>
      <c r="E19" s="47">
        <f t="shared" ref="E19:S19" si="6">SUM(E20:E22)</f>
        <v>24300</v>
      </c>
      <c r="F19" s="126">
        <f>SUM(F20:F22)</f>
        <v>0</v>
      </c>
      <c r="G19" s="73">
        <f t="shared" si="6"/>
        <v>12846</v>
      </c>
      <c r="H19" s="73">
        <f t="shared" si="6"/>
        <v>1320</v>
      </c>
      <c r="I19" s="73">
        <f t="shared" si="6"/>
        <v>0</v>
      </c>
      <c r="J19" s="73">
        <f t="shared" si="6"/>
        <v>0</v>
      </c>
      <c r="K19" s="73">
        <f t="shared" si="6"/>
        <v>1190</v>
      </c>
      <c r="L19" s="73">
        <f t="shared" si="6"/>
        <v>0</v>
      </c>
      <c r="M19" s="73">
        <f t="shared" si="6"/>
        <v>0</v>
      </c>
      <c r="N19" s="73">
        <f t="shared" si="6"/>
        <v>21836</v>
      </c>
      <c r="O19" s="73">
        <f t="shared" si="6"/>
        <v>0</v>
      </c>
      <c r="P19" s="73">
        <f t="shared" si="6"/>
        <v>0</v>
      </c>
      <c r="Q19" s="73">
        <f t="shared" si="6"/>
        <v>1099</v>
      </c>
      <c r="R19" s="73">
        <f t="shared" si="6"/>
        <v>6900</v>
      </c>
      <c r="S19" s="73">
        <f t="shared" si="6"/>
        <v>19908</v>
      </c>
      <c r="T19" s="54">
        <f>SUM(F19:S19)</f>
        <v>65099</v>
      </c>
      <c r="U19" s="133">
        <f t="shared" si="2"/>
        <v>-40799</v>
      </c>
    </row>
    <row r="20" spans="1:21" s="12" customFormat="1" ht="11.25" outlineLevel="2">
      <c r="A20" s="29" t="s">
        <v>135</v>
      </c>
      <c r="B20" s="3" t="s">
        <v>70</v>
      </c>
      <c r="C20" s="38">
        <f>D20/D82</f>
        <v>4.3340267776177518E-3</v>
      </c>
      <c r="D20" s="207">
        <f t="shared" si="0"/>
        <v>108.33333333333333</v>
      </c>
      <c r="E20" s="80">
        <v>1300</v>
      </c>
      <c r="F20" s="153"/>
      <c r="G20" s="95"/>
      <c r="H20" s="95">
        <v>1320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124"/>
      <c r="T20" s="21">
        <f t="shared" ref="T20:T24" si="7">SUM(G20:S20)</f>
        <v>1320</v>
      </c>
      <c r="U20" s="21">
        <f t="shared" si="2"/>
        <v>-20</v>
      </c>
    </row>
    <row r="21" spans="1:21" s="12" customFormat="1" ht="11.25" outlineLevel="2">
      <c r="A21" s="29" t="s">
        <v>136</v>
      </c>
      <c r="B21" s="74" t="s">
        <v>169</v>
      </c>
      <c r="C21" s="38">
        <f>D21/D82</f>
        <v>6.00096015362458E-2</v>
      </c>
      <c r="D21" s="208">
        <f t="shared" si="0"/>
        <v>1500</v>
      </c>
      <c r="E21" s="82">
        <v>18000</v>
      </c>
      <c r="F21" s="124"/>
      <c r="G21" s="95">
        <f>12846</f>
        <v>12846</v>
      </c>
      <c r="H21" s="95"/>
      <c r="I21" s="95"/>
      <c r="J21" s="95"/>
      <c r="K21" s="95"/>
      <c r="L21" s="95"/>
      <c r="M21" s="95"/>
      <c r="N21" s="95">
        <f>12846</f>
        <v>12846</v>
      </c>
      <c r="O21" s="95"/>
      <c r="P21" s="95"/>
      <c r="Q21" s="95"/>
      <c r="R21" s="95"/>
      <c r="S21" s="124"/>
      <c r="T21" s="21">
        <f t="shared" si="7"/>
        <v>25692</v>
      </c>
      <c r="U21" s="21">
        <f t="shared" si="2"/>
        <v>-7692</v>
      </c>
    </row>
    <row r="22" spans="1:21" s="12" customFormat="1" outlineLevel="2" thickBot="1">
      <c r="A22" s="29" t="s">
        <v>137</v>
      </c>
      <c r="B22" s="74" t="s">
        <v>93</v>
      </c>
      <c r="C22" s="38">
        <f>D22/D82</f>
        <v>1.6669333760068277E-2</v>
      </c>
      <c r="D22" s="208">
        <f t="shared" si="0"/>
        <v>416.66666666666669</v>
      </c>
      <c r="E22" s="82">
        <v>5000</v>
      </c>
      <c r="F22" s="153"/>
      <c r="G22" s="95"/>
      <c r="H22" s="95"/>
      <c r="I22" s="95"/>
      <c r="J22" s="95"/>
      <c r="K22" s="95">
        <f>1190</f>
        <v>1190</v>
      </c>
      <c r="L22" s="95"/>
      <c r="M22" s="73"/>
      <c r="N22" s="95">
        <v>8990</v>
      </c>
      <c r="O22" s="95"/>
      <c r="P22" s="95"/>
      <c r="Q22" s="95">
        <f>500+599</f>
        <v>1099</v>
      </c>
      <c r="R22" s="95">
        <f>2000+4900</f>
        <v>6900</v>
      </c>
      <c r="S22" s="124">
        <v>19908</v>
      </c>
      <c r="T22" s="21">
        <f t="shared" si="7"/>
        <v>38087</v>
      </c>
      <c r="U22" s="21">
        <f t="shared" si="2"/>
        <v>-33087</v>
      </c>
    </row>
    <row r="23" spans="1:21">
      <c r="A23" s="27" t="s">
        <v>110</v>
      </c>
      <c r="B23" s="7" t="s">
        <v>12</v>
      </c>
      <c r="C23" s="37">
        <f>D23/D82</f>
        <v>8.8347468928361872E-2</v>
      </c>
      <c r="D23" s="204">
        <f t="shared" si="0"/>
        <v>2208.3333333333335</v>
      </c>
      <c r="E23" s="65">
        <f>SUM(E24:E27)</f>
        <v>26500</v>
      </c>
      <c r="F23" s="152">
        <f t="shared" ref="F23:S23" si="8">SUM(F24:F27)</f>
        <v>0</v>
      </c>
      <c r="G23" s="71">
        <f t="shared" si="8"/>
        <v>1750</v>
      </c>
      <c r="H23" s="71">
        <f t="shared" si="8"/>
        <v>5390.4800000000005</v>
      </c>
      <c r="I23" s="71">
        <f>SUM(I24:I27)</f>
        <v>2202</v>
      </c>
      <c r="J23" s="71">
        <f t="shared" si="8"/>
        <v>630</v>
      </c>
      <c r="K23" s="71">
        <f t="shared" si="8"/>
        <v>6621.54</v>
      </c>
      <c r="L23" s="71">
        <f t="shared" si="8"/>
        <v>2566.15</v>
      </c>
      <c r="M23" s="71">
        <f t="shared" si="8"/>
        <v>6660.6</v>
      </c>
      <c r="N23" s="71">
        <f>SUM(N24:N27)</f>
        <v>496.5</v>
      </c>
      <c r="O23" s="71">
        <f t="shared" si="8"/>
        <v>420</v>
      </c>
      <c r="P23" s="71">
        <f t="shared" si="8"/>
        <v>5647.5</v>
      </c>
      <c r="Q23" s="71">
        <f t="shared" si="8"/>
        <v>199.83</v>
      </c>
      <c r="R23" s="71">
        <f t="shared" si="8"/>
        <v>3301</v>
      </c>
      <c r="S23" s="108">
        <f t="shared" si="8"/>
        <v>0</v>
      </c>
      <c r="T23" s="24">
        <f t="shared" si="7"/>
        <v>35885.600000000006</v>
      </c>
      <c r="U23" s="24">
        <f t="shared" si="2"/>
        <v>-9385.6000000000058</v>
      </c>
    </row>
    <row r="24" spans="1:21" s="55" customFormat="1" ht="12" outlineLevel="1">
      <c r="A24" s="31" t="s">
        <v>50</v>
      </c>
      <c r="B24" s="43" t="s">
        <v>184</v>
      </c>
      <c r="C24" s="44">
        <f>D24/D82</f>
        <v>6.6677335040273109E-2</v>
      </c>
      <c r="D24" s="205">
        <f t="shared" si="0"/>
        <v>1666.6666666666667</v>
      </c>
      <c r="E24" s="47">
        <v>20000</v>
      </c>
      <c r="F24" s="110"/>
      <c r="G24" s="73">
        <f>1750</f>
        <v>1750</v>
      </c>
      <c r="H24" s="73">
        <f>5329.68+60.8</f>
        <v>5390.4800000000005</v>
      </c>
      <c r="I24" s="73">
        <f>62+110+1380</f>
        <v>1552</v>
      </c>
      <c r="J24" s="73"/>
      <c r="K24" s="73">
        <v>5866.39</v>
      </c>
      <c r="L24" s="73">
        <f>1600+125</f>
        <v>1725</v>
      </c>
      <c r="M24" s="73">
        <f>3000+319.1+250+300</f>
        <v>3869.1</v>
      </c>
      <c r="N24" s="73">
        <f>80</f>
        <v>80</v>
      </c>
      <c r="O24" s="73"/>
      <c r="P24" s="73">
        <v>4596.5</v>
      </c>
      <c r="Q24" s="73"/>
      <c r="R24" s="73">
        <f>1920+177+580</f>
        <v>2677</v>
      </c>
      <c r="S24" s="110"/>
      <c r="T24" s="54">
        <f t="shared" si="7"/>
        <v>27506.469999999998</v>
      </c>
      <c r="U24" s="54">
        <f t="shared" si="2"/>
        <v>-7506.4699999999975</v>
      </c>
    </row>
    <row r="25" spans="1:21" s="55" customFormat="1" ht="12" outlineLevel="1">
      <c r="A25" s="31" t="s">
        <v>51</v>
      </c>
      <c r="B25" s="43" t="s">
        <v>15</v>
      </c>
      <c r="C25" s="44">
        <f>D25/D82</f>
        <v>1.6669333760068277E-2</v>
      </c>
      <c r="D25" s="205">
        <f t="shared" si="0"/>
        <v>416.66666666666669</v>
      </c>
      <c r="E25" s="47">
        <v>5000</v>
      </c>
      <c r="F25" s="126"/>
      <c r="G25" s="73"/>
      <c r="H25" s="73"/>
      <c r="I25" s="73">
        <f>450</f>
        <v>450</v>
      </c>
      <c r="J25" s="73">
        <f>500+130</f>
        <v>630</v>
      </c>
      <c r="K25" s="73">
        <f>185.5+149.65+320</f>
        <v>655.15</v>
      </c>
      <c r="L25" s="73"/>
      <c r="M25" s="73">
        <f>1210</f>
        <v>1210</v>
      </c>
      <c r="N25" s="73">
        <f>191.5+225</f>
        <v>416.5</v>
      </c>
      <c r="O25" s="73">
        <v>420</v>
      </c>
      <c r="P25" s="73">
        <v>1005</v>
      </c>
      <c r="Q25" s="73">
        <v>199.83</v>
      </c>
      <c r="R25" s="73"/>
      <c r="S25" s="110"/>
      <c r="T25" s="54">
        <f t="shared" ref="T25:T69" si="9">SUM(G25:S25)</f>
        <v>4986.4799999999996</v>
      </c>
      <c r="U25" s="54">
        <f t="shared" si="2"/>
        <v>13.520000000000437</v>
      </c>
    </row>
    <row r="26" spans="1:21" s="55" customFormat="1" ht="12" outlineLevel="1">
      <c r="A26" s="31" t="s">
        <v>52</v>
      </c>
      <c r="B26" s="43" t="s">
        <v>185</v>
      </c>
      <c r="C26" s="44">
        <f>D26/D82</f>
        <v>5.0008001280204837E-3</v>
      </c>
      <c r="D26" s="205">
        <f t="shared" si="0"/>
        <v>125</v>
      </c>
      <c r="E26" s="47">
        <v>1500</v>
      </c>
      <c r="F26" s="126"/>
      <c r="G26" s="73"/>
      <c r="H26" s="73"/>
      <c r="I26" s="73">
        <v>200</v>
      </c>
      <c r="J26" s="73"/>
      <c r="K26" s="73">
        <f>100</f>
        <v>100</v>
      </c>
      <c r="L26" s="73">
        <f>368+189+84.15+200</f>
        <v>841.15</v>
      </c>
      <c r="M26" s="73">
        <f>484+330+240+200+27.5+300</f>
        <v>1581.5</v>
      </c>
      <c r="N26" s="73"/>
      <c r="O26" s="73"/>
      <c r="P26" s="73">
        <v>46</v>
      </c>
      <c r="Q26" s="73"/>
      <c r="R26" s="73">
        <f>120+504</f>
        <v>624</v>
      </c>
      <c r="S26" s="110"/>
      <c r="T26" s="54">
        <f t="shared" si="9"/>
        <v>3392.65</v>
      </c>
      <c r="U26" s="54">
        <f t="shared" si="2"/>
        <v>-1892.65</v>
      </c>
    </row>
    <row r="27" spans="1:21" s="55" customFormat="1" outlineLevel="1" thickBot="1">
      <c r="A27" s="32" t="s">
        <v>53</v>
      </c>
      <c r="B27" s="50" t="s">
        <v>84</v>
      </c>
      <c r="C27" s="51">
        <f>D27/D82</f>
        <v>0</v>
      </c>
      <c r="D27" s="206">
        <f t="shared" si="0"/>
        <v>0</v>
      </c>
      <c r="E27" s="66">
        <v>0</v>
      </c>
      <c r="F27" s="154"/>
      <c r="G27" s="96"/>
      <c r="H27" s="123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25"/>
      <c r="T27" s="67">
        <f t="shared" si="9"/>
        <v>0</v>
      </c>
      <c r="U27" s="67">
        <f t="shared" si="2"/>
        <v>0</v>
      </c>
    </row>
    <row r="28" spans="1:21" ht="27" customHeight="1">
      <c r="A28" s="27" t="s">
        <v>111</v>
      </c>
      <c r="B28" s="8" t="s">
        <v>17</v>
      </c>
      <c r="C28" s="41">
        <f>D28/D82</f>
        <v>1.3018749666613325</v>
      </c>
      <c r="D28" s="209">
        <f t="shared" si="0"/>
        <v>32541.666666666668</v>
      </c>
      <c r="E28" s="83">
        <f>SUM(E29:E43)</f>
        <v>390500</v>
      </c>
      <c r="F28" s="155">
        <f t="shared" ref="F28:S28" si="10">SUM(F29:F43)</f>
        <v>21730</v>
      </c>
      <c r="G28" s="72">
        <f t="shared" si="10"/>
        <v>11670.86</v>
      </c>
      <c r="H28" s="72">
        <f t="shared" si="10"/>
        <v>21168.190000000002</v>
      </c>
      <c r="I28" s="72">
        <f>SUM(I29:I43)</f>
        <v>36180</v>
      </c>
      <c r="J28" s="72">
        <f t="shared" si="10"/>
        <v>26980</v>
      </c>
      <c r="K28" s="72">
        <f t="shared" si="10"/>
        <v>7500</v>
      </c>
      <c r="L28" s="72">
        <f t="shared" si="10"/>
        <v>115615.8</v>
      </c>
      <c r="M28" s="72">
        <f t="shared" si="10"/>
        <v>24679.35</v>
      </c>
      <c r="N28" s="72">
        <f t="shared" si="10"/>
        <v>75038</v>
      </c>
      <c r="O28" s="72">
        <f t="shared" si="10"/>
        <v>11800</v>
      </c>
      <c r="P28" s="72">
        <f t="shared" si="10"/>
        <v>13730</v>
      </c>
      <c r="Q28" s="72">
        <f t="shared" si="10"/>
        <v>16807.68</v>
      </c>
      <c r="R28" s="72">
        <f t="shared" si="10"/>
        <v>35895.660000000003</v>
      </c>
      <c r="S28" s="109">
        <f t="shared" si="10"/>
        <v>8700</v>
      </c>
      <c r="T28" s="112">
        <f t="shared" si="9"/>
        <v>405765.54000000004</v>
      </c>
      <c r="U28" s="113">
        <f t="shared" si="2"/>
        <v>-15265.540000000037</v>
      </c>
    </row>
    <row r="29" spans="1:21" s="55" customFormat="1" ht="12" outlineLevel="1">
      <c r="A29" s="31" t="s">
        <v>56</v>
      </c>
      <c r="B29" s="43" t="s">
        <v>163</v>
      </c>
      <c r="C29" s="44">
        <f>D29/D82</f>
        <v>1.0001600256040967E-2</v>
      </c>
      <c r="D29" s="205">
        <f t="shared" si="0"/>
        <v>250</v>
      </c>
      <c r="E29" s="47">
        <v>3000</v>
      </c>
      <c r="F29" s="110"/>
      <c r="G29" s="73"/>
      <c r="H29" s="73"/>
      <c r="I29" s="73"/>
      <c r="J29" s="73"/>
      <c r="K29" s="73"/>
      <c r="L29" s="73">
        <f>790+31105.8</f>
        <v>31895.8</v>
      </c>
      <c r="M29" s="73"/>
      <c r="N29" s="73"/>
      <c r="O29" s="73"/>
      <c r="P29" s="73"/>
      <c r="Q29" s="73"/>
      <c r="R29" s="73"/>
      <c r="S29" s="110"/>
      <c r="T29" s="54">
        <f t="shared" si="9"/>
        <v>31895.8</v>
      </c>
      <c r="U29" s="54">
        <f t="shared" si="2"/>
        <v>-28895.8</v>
      </c>
    </row>
    <row r="30" spans="1:21" s="55" customFormat="1" ht="12" outlineLevel="1">
      <c r="A30" s="31" t="s">
        <v>57</v>
      </c>
      <c r="B30" s="77" t="s">
        <v>55</v>
      </c>
      <c r="C30" s="44">
        <f>D30/D82</f>
        <v>0.15002400384061451</v>
      </c>
      <c r="D30" s="205">
        <f t="shared" si="0"/>
        <v>3750</v>
      </c>
      <c r="E30" s="47">
        <v>45000</v>
      </c>
      <c r="F30" s="110">
        <v>3000</v>
      </c>
      <c r="G30" s="73"/>
      <c r="H30" s="73">
        <f>3000+5500</f>
        <v>8500</v>
      </c>
      <c r="I30" s="73">
        <v>3000</v>
      </c>
      <c r="J30" s="73">
        <v>8000</v>
      </c>
      <c r="K30" s="73">
        <v>3000</v>
      </c>
      <c r="L30" s="73">
        <v>3000</v>
      </c>
      <c r="M30" s="73">
        <v>3000</v>
      </c>
      <c r="N30" s="73">
        <f>3000+7200+6800</f>
        <v>17000</v>
      </c>
      <c r="O30" s="73">
        <v>3000</v>
      </c>
      <c r="P30" s="73">
        <v>3000</v>
      </c>
      <c r="Q30" s="73">
        <v>3000</v>
      </c>
      <c r="R30" s="73">
        <v>3000</v>
      </c>
      <c r="S30" s="110">
        <v>3000</v>
      </c>
      <c r="T30" s="133">
        <f t="shared" si="9"/>
        <v>60500</v>
      </c>
      <c r="U30" s="133">
        <f t="shared" si="2"/>
        <v>-15500</v>
      </c>
    </row>
    <row r="31" spans="1:21" s="55" customFormat="1" ht="12" outlineLevel="1">
      <c r="A31" s="31" t="s">
        <v>58</v>
      </c>
      <c r="B31" s="78" t="s">
        <v>18</v>
      </c>
      <c r="C31" s="44">
        <f>D31/D82</f>
        <v>0.10001600256040967</v>
      </c>
      <c r="D31" s="205">
        <f t="shared" si="0"/>
        <v>2500</v>
      </c>
      <c r="E31" s="47">
        <v>30000</v>
      </c>
      <c r="F31" s="110">
        <v>2500</v>
      </c>
      <c r="G31" s="73"/>
      <c r="H31" s="73">
        <v>2500</v>
      </c>
      <c r="I31" s="73">
        <v>2500</v>
      </c>
      <c r="J31" s="73">
        <v>2500</v>
      </c>
      <c r="K31" s="73">
        <v>2500</v>
      </c>
      <c r="L31" s="73">
        <v>2500</v>
      </c>
      <c r="M31" s="73">
        <v>2500</v>
      </c>
      <c r="N31" s="73">
        <v>2500</v>
      </c>
      <c r="O31" s="73">
        <v>2500</v>
      </c>
      <c r="P31" s="73">
        <v>2500</v>
      </c>
      <c r="Q31" s="73">
        <v>2500</v>
      </c>
      <c r="R31" s="73">
        <v>2500</v>
      </c>
      <c r="S31" s="110">
        <v>2500</v>
      </c>
      <c r="T31" s="54">
        <f t="shared" si="9"/>
        <v>30000</v>
      </c>
      <c r="U31" s="54">
        <f t="shared" si="2"/>
        <v>0</v>
      </c>
    </row>
    <row r="32" spans="1:21" s="55" customFormat="1" ht="12" outlineLevel="1">
      <c r="A32" s="31" t="s">
        <v>73</v>
      </c>
      <c r="B32" s="43" t="s">
        <v>200</v>
      </c>
      <c r="C32" s="44">
        <f>D32/D82</f>
        <v>4.0006401024163869E-2</v>
      </c>
      <c r="D32" s="205">
        <f t="shared" si="0"/>
        <v>1000</v>
      </c>
      <c r="E32" s="47">
        <v>12000</v>
      </c>
      <c r="F32" s="110"/>
      <c r="G32" s="73"/>
      <c r="H32" s="73"/>
      <c r="I32" s="73"/>
      <c r="J32" s="73">
        <v>14080</v>
      </c>
      <c r="K32" s="73"/>
      <c r="L32" s="123"/>
      <c r="M32" s="73"/>
      <c r="N32" s="73"/>
      <c r="O32" s="73"/>
      <c r="P32" s="73"/>
      <c r="Q32" s="73"/>
      <c r="R32" s="73"/>
      <c r="S32" s="110"/>
      <c r="T32" s="54">
        <f t="shared" si="9"/>
        <v>14080</v>
      </c>
      <c r="U32" s="54">
        <f t="shared" si="2"/>
        <v>-2080</v>
      </c>
    </row>
    <row r="33" spans="1:21" s="55" customFormat="1" ht="12" outlineLevel="1">
      <c r="A33" s="31" t="s">
        <v>75</v>
      </c>
      <c r="B33" s="43" t="s">
        <v>20</v>
      </c>
      <c r="C33" s="44">
        <f>D33/D82</f>
        <v>3.2005120819331094E-2</v>
      </c>
      <c r="D33" s="205">
        <f t="shared" si="0"/>
        <v>800</v>
      </c>
      <c r="E33" s="47">
        <v>9600</v>
      </c>
      <c r="F33" s="110">
        <v>2400</v>
      </c>
      <c r="G33" s="73"/>
      <c r="H33" s="73"/>
      <c r="I33" s="73"/>
      <c r="J33" s="73">
        <v>2400</v>
      </c>
      <c r="K33" s="73"/>
      <c r="L33" s="73"/>
      <c r="M33" s="73">
        <v>2400</v>
      </c>
      <c r="N33" s="73"/>
      <c r="O33" s="73"/>
      <c r="P33" s="73">
        <v>2400</v>
      </c>
      <c r="Q33" s="73"/>
      <c r="R33" s="73"/>
      <c r="S33" s="110">
        <v>2400</v>
      </c>
      <c r="T33" s="133">
        <f t="shared" si="9"/>
        <v>9600</v>
      </c>
      <c r="U33" s="133">
        <f t="shared" si="2"/>
        <v>0</v>
      </c>
    </row>
    <row r="34" spans="1:21" s="55" customFormat="1" ht="12" outlineLevel="1">
      <c r="A34" s="31" t="s">
        <v>79</v>
      </c>
      <c r="B34" s="43" t="s">
        <v>100</v>
      </c>
      <c r="C34" s="44">
        <f>D34/D82</f>
        <v>6.6677335040273107E-3</v>
      </c>
      <c r="D34" s="205">
        <f t="shared" si="0"/>
        <v>166.66666666666666</v>
      </c>
      <c r="E34" s="47">
        <v>2000</v>
      </c>
      <c r="F34" s="110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10"/>
      <c r="T34" s="133">
        <f t="shared" si="9"/>
        <v>0</v>
      </c>
      <c r="U34" s="133">
        <f t="shared" si="2"/>
        <v>2000</v>
      </c>
    </row>
    <row r="35" spans="1:21" s="55" customFormat="1" ht="12" outlineLevel="1">
      <c r="A35" s="31" t="s">
        <v>82</v>
      </c>
      <c r="B35" s="43" t="s">
        <v>101</v>
      </c>
      <c r="C35" s="44">
        <f>D35/D82</f>
        <v>8.3346668800341386E-3</v>
      </c>
      <c r="D35" s="205">
        <f t="shared" si="0"/>
        <v>208.33333333333334</v>
      </c>
      <c r="E35" s="47">
        <v>2500</v>
      </c>
      <c r="F35" s="110"/>
      <c r="G35" s="73"/>
      <c r="H35" s="73"/>
      <c r="I35" s="73"/>
      <c r="J35" s="73"/>
      <c r="K35" s="73"/>
      <c r="L35" s="73"/>
      <c r="M35" s="73">
        <f>2001.87+5116.48</f>
        <v>7118.3499999999995</v>
      </c>
      <c r="N35" s="73"/>
      <c r="O35" s="73"/>
      <c r="P35" s="73"/>
      <c r="Q35" s="73"/>
      <c r="R35" s="73">
        <v>652.54</v>
      </c>
      <c r="S35" s="110"/>
      <c r="T35" s="133">
        <f t="shared" si="9"/>
        <v>7770.8899999999994</v>
      </c>
      <c r="U35" s="133">
        <f t="shared" si="2"/>
        <v>-5270.8899999999994</v>
      </c>
    </row>
    <row r="36" spans="1:21" s="55" customFormat="1" ht="12" outlineLevel="1">
      <c r="A36" s="31" t="s">
        <v>103</v>
      </c>
      <c r="B36" s="245" t="s">
        <v>211</v>
      </c>
      <c r="C36" s="44">
        <f>D36/D82</f>
        <v>0.30004800768122902</v>
      </c>
      <c r="D36" s="205">
        <f t="shared" si="0"/>
        <v>7500</v>
      </c>
      <c r="E36" s="248">
        <v>90000</v>
      </c>
      <c r="F36" s="110"/>
      <c r="G36" s="73"/>
      <c r="H36" s="73"/>
      <c r="I36" s="73">
        <v>24980</v>
      </c>
      <c r="J36" s="73"/>
      <c r="K36" s="73"/>
      <c r="L36" s="73">
        <v>49420</v>
      </c>
      <c r="M36" s="73"/>
      <c r="N36" s="73"/>
      <c r="O36" s="73"/>
      <c r="P36" s="73"/>
      <c r="Q36" s="73"/>
      <c r="R36" s="73"/>
      <c r="S36" s="110"/>
      <c r="T36" s="133">
        <f t="shared" si="9"/>
        <v>74400</v>
      </c>
      <c r="U36" s="133">
        <f t="shared" si="2"/>
        <v>15600</v>
      </c>
    </row>
    <row r="37" spans="1:21" s="55" customFormat="1" ht="12" outlineLevel="1">
      <c r="A37" s="31" t="s">
        <v>138</v>
      </c>
      <c r="B37" s="245" t="s">
        <v>212</v>
      </c>
      <c r="C37" s="44">
        <f>D37/D82</f>
        <v>0.23470421934176136</v>
      </c>
      <c r="D37" s="205">
        <f t="shared" si="0"/>
        <v>5866.666666666667</v>
      </c>
      <c r="E37" s="248">
        <f>50400+20000</f>
        <v>70400</v>
      </c>
      <c r="F37" s="110"/>
      <c r="G37" s="73"/>
      <c r="H37" s="73"/>
      <c r="I37" s="73"/>
      <c r="J37" s="73"/>
      <c r="K37" s="73"/>
      <c r="L37" s="73"/>
      <c r="M37" s="73"/>
      <c r="N37" s="73">
        <v>28889</v>
      </c>
      <c r="O37" s="73"/>
      <c r="P37" s="73"/>
      <c r="Q37" s="73">
        <v>8707.68</v>
      </c>
      <c r="R37" s="73">
        <v>24843.119999999999</v>
      </c>
      <c r="S37" s="110"/>
      <c r="T37" s="133">
        <f t="shared" si="9"/>
        <v>62439.8</v>
      </c>
      <c r="U37" s="133">
        <f t="shared" si="2"/>
        <v>7960.1999999999971</v>
      </c>
    </row>
    <row r="38" spans="1:21" s="55" customFormat="1" ht="12" outlineLevel="1">
      <c r="A38" s="31" t="s">
        <v>139</v>
      </c>
      <c r="B38" s="43" t="s">
        <v>189</v>
      </c>
      <c r="C38" s="44">
        <f>D38/D82</f>
        <v>0.1200192030724916</v>
      </c>
      <c r="D38" s="205">
        <f t="shared" si="0"/>
        <v>3000</v>
      </c>
      <c r="E38" s="248">
        <v>36000</v>
      </c>
      <c r="F38" s="110">
        <v>13830</v>
      </c>
      <c r="G38" s="73"/>
      <c r="H38" s="73"/>
      <c r="I38" s="73"/>
      <c r="J38" s="73"/>
      <c r="K38" s="73"/>
      <c r="L38" s="73"/>
      <c r="M38" s="73">
        <v>8511</v>
      </c>
      <c r="N38" s="73">
        <v>19149</v>
      </c>
      <c r="O38" s="73"/>
      <c r="P38" s="73"/>
      <c r="Q38" s="73"/>
      <c r="R38" s="73"/>
      <c r="S38" s="110"/>
      <c r="T38" s="133">
        <f t="shared" si="9"/>
        <v>27660</v>
      </c>
      <c r="U38" s="133">
        <f t="shared" si="2"/>
        <v>8340</v>
      </c>
    </row>
    <row r="39" spans="1:21" s="55" customFormat="1" ht="12" outlineLevel="1">
      <c r="A39" s="31" t="s">
        <v>140</v>
      </c>
      <c r="B39" s="68" t="s">
        <v>204</v>
      </c>
      <c r="C39" s="44">
        <f>D39/D82</f>
        <v>0.10668373606443697</v>
      </c>
      <c r="D39" s="205">
        <f t="shared" si="0"/>
        <v>2666.6666666666665</v>
      </c>
      <c r="E39" s="47">
        <v>32000</v>
      </c>
      <c r="F39" s="110"/>
      <c r="G39" s="73"/>
      <c r="H39" s="73">
        <f>1300+8868.19</f>
        <v>10168.19</v>
      </c>
      <c r="I39" s="73">
        <v>5700</v>
      </c>
      <c r="J39" s="73"/>
      <c r="K39" s="73">
        <v>2000</v>
      </c>
      <c r="L39" s="73">
        <v>3800</v>
      </c>
      <c r="M39" s="73">
        <v>1150</v>
      </c>
      <c r="N39" s="73">
        <f>5000+2500</f>
        <v>7500</v>
      </c>
      <c r="O39" s="73">
        <v>2500</v>
      </c>
      <c r="P39" s="73">
        <f>5830</f>
        <v>5830</v>
      </c>
      <c r="Q39" s="73">
        <f>2600</f>
        <v>2600</v>
      </c>
      <c r="R39" s="73"/>
      <c r="S39" s="110">
        <v>800</v>
      </c>
      <c r="T39" s="133">
        <f t="shared" si="9"/>
        <v>42048.19</v>
      </c>
      <c r="U39" s="133">
        <f t="shared" si="2"/>
        <v>-10048.190000000002</v>
      </c>
    </row>
    <row r="40" spans="1:21" s="55" customFormat="1" ht="12" outlineLevel="1">
      <c r="A40" s="31" t="s">
        <v>141</v>
      </c>
      <c r="B40" s="43" t="s">
        <v>199</v>
      </c>
      <c r="C40" s="165">
        <f>D40/D82</f>
        <v>4.6674134528191177E-2</v>
      </c>
      <c r="D40" s="205">
        <f t="shared" si="0"/>
        <v>1166.6666666666667</v>
      </c>
      <c r="E40" s="47">
        <v>14000</v>
      </c>
      <c r="F40" s="125"/>
      <c r="G40" s="96"/>
      <c r="H40" s="96"/>
      <c r="I40" s="96"/>
      <c r="J40" s="96"/>
      <c r="K40" s="96"/>
      <c r="L40" s="73"/>
      <c r="M40" s="96"/>
      <c r="N40" s="96"/>
      <c r="O40" s="96">
        <v>3800</v>
      </c>
      <c r="P40" s="96"/>
      <c r="Q40" s="96"/>
      <c r="R40" s="96">
        <v>4900</v>
      </c>
      <c r="S40" s="125"/>
      <c r="T40" s="133">
        <f t="shared" si="9"/>
        <v>8700</v>
      </c>
      <c r="U40" s="133">
        <f t="shared" si="2"/>
        <v>5300</v>
      </c>
    </row>
    <row r="41" spans="1:21" s="55" customFormat="1" ht="12" outlineLevel="1">
      <c r="A41" s="31" t="s">
        <v>142</v>
      </c>
      <c r="B41" s="166" t="s">
        <v>198</v>
      </c>
      <c r="C41" s="139">
        <f>D41/D82</f>
        <v>8.668053555235504E-2</v>
      </c>
      <c r="D41" s="210">
        <f t="shared" si="0"/>
        <v>2166.6666666666665</v>
      </c>
      <c r="E41" s="47">
        <v>26000</v>
      </c>
      <c r="F41" s="125"/>
      <c r="G41" s="96"/>
      <c r="H41" s="96"/>
      <c r="I41" s="96"/>
      <c r="J41" s="96"/>
      <c r="K41" s="96"/>
      <c r="L41" s="73">
        <v>25000</v>
      </c>
      <c r="M41" s="96"/>
      <c r="N41" s="96"/>
      <c r="O41" s="96"/>
      <c r="P41" s="96"/>
      <c r="Q41" s="96"/>
      <c r="R41" s="96"/>
      <c r="S41" s="125"/>
      <c r="T41" s="133">
        <f t="shared" si="9"/>
        <v>25000</v>
      </c>
      <c r="U41" s="133">
        <f t="shared" si="2"/>
        <v>1000</v>
      </c>
    </row>
    <row r="42" spans="1:21" s="55" customFormat="1" ht="12" outlineLevel="1">
      <c r="A42" s="31" t="s">
        <v>165</v>
      </c>
      <c r="B42" s="254" t="s">
        <v>167</v>
      </c>
      <c r="C42" s="139">
        <f>D42/D82</f>
        <v>3.3338667520136554E-2</v>
      </c>
      <c r="D42" s="210">
        <f t="shared" si="0"/>
        <v>833.33333333333337</v>
      </c>
      <c r="E42" s="47">
        <v>10000</v>
      </c>
      <c r="F42" s="125"/>
      <c r="G42" s="96">
        <v>11670.86</v>
      </c>
      <c r="H42" s="96"/>
      <c r="I42" s="96"/>
      <c r="J42" s="96"/>
      <c r="K42" s="96"/>
      <c r="L42" s="73"/>
      <c r="M42" s="96"/>
      <c r="N42" s="96"/>
      <c r="O42" s="96"/>
      <c r="P42" s="96"/>
      <c r="Q42" s="96"/>
      <c r="R42" s="96"/>
      <c r="S42" s="125"/>
      <c r="T42" s="133">
        <f t="shared" si="9"/>
        <v>11670.86</v>
      </c>
      <c r="U42" s="133">
        <f t="shared" si="2"/>
        <v>-1670.8600000000006</v>
      </c>
    </row>
    <row r="43" spans="1:21" s="55" customFormat="1" outlineLevel="1" thickBot="1">
      <c r="A43" s="31" t="s">
        <v>166</v>
      </c>
      <c r="B43" s="175" t="s">
        <v>168</v>
      </c>
      <c r="C43" s="167">
        <f>D43/D82</f>
        <v>2.6670934016109243E-2</v>
      </c>
      <c r="D43" s="205">
        <f t="shared" ref="D43:D80" si="11">E43/12</f>
        <v>666.66666666666663</v>
      </c>
      <c r="E43" s="47">
        <v>8000</v>
      </c>
      <c r="F43" s="126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110"/>
      <c r="T43" s="161">
        <f t="shared" si="9"/>
        <v>0</v>
      </c>
      <c r="U43" s="133">
        <f t="shared" si="2"/>
        <v>8000</v>
      </c>
    </row>
    <row r="44" spans="1:21">
      <c r="A44" s="27" t="s">
        <v>112</v>
      </c>
      <c r="B44" s="7" t="s">
        <v>102</v>
      </c>
      <c r="C44" s="37">
        <f>D44/D82</f>
        <v>0.47007521203392544</v>
      </c>
      <c r="D44" s="204">
        <f t="shared" si="11"/>
        <v>11750</v>
      </c>
      <c r="E44" s="65">
        <f>SUM(E45:E51)</f>
        <v>141000</v>
      </c>
      <c r="F44" s="152">
        <f t="shared" ref="F44:S44" si="12">SUM(F45:F51)</f>
        <v>11670.86</v>
      </c>
      <c r="G44" s="71">
        <f t="shared" si="12"/>
        <v>7703.5</v>
      </c>
      <c r="H44" s="71">
        <f t="shared" si="12"/>
        <v>8919.15</v>
      </c>
      <c r="I44" s="71">
        <f t="shared" si="12"/>
        <v>11160.15</v>
      </c>
      <c r="J44" s="71">
        <f t="shared" si="12"/>
        <v>31057.03</v>
      </c>
      <c r="K44" s="71">
        <f t="shared" si="12"/>
        <v>19681.04</v>
      </c>
      <c r="L44" s="71">
        <f t="shared" si="12"/>
        <v>19094.5</v>
      </c>
      <c r="M44" s="71">
        <f t="shared" si="12"/>
        <v>30355.079999999998</v>
      </c>
      <c r="N44" s="71">
        <f t="shared" si="12"/>
        <v>18710.599999999999</v>
      </c>
      <c r="O44" s="71">
        <f t="shared" si="12"/>
        <v>2849.66</v>
      </c>
      <c r="P44" s="71">
        <f t="shared" si="12"/>
        <v>12749.8</v>
      </c>
      <c r="Q44" s="71">
        <f t="shared" si="12"/>
        <v>11385</v>
      </c>
      <c r="R44" s="71">
        <f t="shared" si="12"/>
        <v>7643</v>
      </c>
      <c r="S44" s="71">
        <f t="shared" si="12"/>
        <v>0</v>
      </c>
      <c r="T44" s="162">
        <f t="shared" si="9"/>
        <v>181308.50999999998</v>
      </c>
      <c r="U44" s="163">
        <f t="shared" si="2"/>
        <v>-40308.50999999998</v>
      </c>
    </row>
    <row r="45" spans="1:21" s="55" customFormat="1" ht="12" outlineLevel="1">
      <c r="A45" s="31" t="s">
        <v>59</v>
      </c>
      <c r="B45" s="43" t="s">
        <v>80</v>
      </c>
      <c r="C45" s="44">
        <f>D45/D82</f>
        <v>0.16002560409665548</v>
      </c>
      <c r="D45" s="205">
        <f t="shared" si="11"/>
        <v>4000</v>
      </c>
      <c r="E45" s="47">
        <v>48000</v>
      </c>
      <c r="F45" s="126"/>
      <c r="G45" s="73">
        <f>400+367+366+165</f>
        <v>1298</v>
      </c>
      <c r="H45" s="73">
        <f>62+321+80+388</f>
        <v>851</v>
      </c>
      <c r="I45" s="73"/>
      <c r="J45" s="73"/>
      <c r="K45" s="73">
        <f>7306+1343.44</f>
        <v>8649.44</v>
      </c>
      <c r="L45" s="260">
        <f>9593.2+145.6</f>
        <v>9738.8000000000011</v>
      </c>
      <c r="M45" s="73">
        <f>16014.6+68</f>
        <v>16082.6</v>
      </c>
      <c r="N45" s="73">
        <f>267+26</f>
        <v>293</v>
      </c>
      <c r="O45" s="73">
        <f>601.37+396.55</f>
        <v>997.92000000000007</v>
      </c>
      <c r="P45" s="73">
        <v>1357.8</v>
      </c>
      <c r="Q45" s="73"/>
      <c r="R45" s="73">
        <f>1175</f>
        <v>1175</v>
      </c>
      <c r="S45" s="110"/>
      <c r="T45" s="133">
        <f t="shared" si="9"/>
        <v>40443.560000000005</v>
      </c>
      <c r="U45" s="133">
        <f t="shared" si="2"/>
        <v>7556.4399999999951</v>
      </c>
    </row>
    <row r="46" spans="1:21" s="55" customFormat="1" ht="12" outlineLevel="1">
      <c r="A46" s="31" t="s">
        <v>60</v>
      </c>
      <c r="B46" s="43" t="s">
        <v>197</v>
      </c>
      <c r="C46" s="44">
        <f>D46/D82</f>
        <v>0.10001600256040967</v>
      </c>
      <c r="D46" s="205">
        <f t="shared" si="11"/>
        <v>2500</v>
      </c>
      <c r="E46" s="47">
        <v>30000</v>
      </c>
      <c r="F46" s="110"/>
      <c r="G46" s="73">
        <f>58+127+76+950+2841</f>
        <v>4052</v>
      </c>
      <c r="H46" s="73">
        <f>707.5+151</f>
        <v>858.5</v>
      </c>
      <c r="I46" s="89">
        <f>2475+252</f>
        <v>2727</v>
      </c>
      <c r="J46" s="73">
        <f>299+890+890+1090+354+177.2+432+89+531+148+1206.8+128</f>
        <v>6235</v>
      </c>
      <c r="K46" s="89">
        <f>86+146.6+245</f>
        <v>477.6</v>
      </c>
      <c r="L46" s="73"/>
      <c r="M46" s="89">
        <f>200+96+325+45+191+280+352+145+380</f>
        <v>2014</v>
      </c>
      <c r="N46" s="73">
        <f>1641.5+574+130+120+470+152.5</f>
        <v>3088</v>
      </c>
      <c r="O46" s="89"/>
      <c r="P46" s="73">
        <v>351</v>
      </c>
      <c r="Q46" s="89">
        <f>1611+184</f>
        <v>1795</v>
      </c>
      <c r="R46" s="73">
        <v>120</v>
      </c>
      <c r="S46" s="110"/>
      <c r="T46" s="133">
        <f t="shared" si="9"/>
        <v>21718.1</v>
      </c>
      <c r="U46" s="133">
        <f t="shared" si="2"/>
        <v>8281.9000000000015</v>
      </c>
    </row>
    <row r="47" spans="1:21" s="55" customFormat="1" ht="12" outlineLevel="1">
      <c r="A47" s="31" t="s">
        <v>61</v>
      </c>
      <c r="B47" s="43" t="s">
        <v>77</v>
      </c>
      <c r="C47" s="44">
        <f>D47/D82</f>
        <v>1.6669333760068277E-2</v>
      </c>
      <c r="D47" s="205">
        <f t="shared" si="11"/>
        <v>416.66666666666669</v>
      </c>
      <c r="E47" s="47">
        <v>5000</v>
      </c>
      <c r="F47" s="126"/>
      <c r="G47" s="73"/>
      <c r="H47" s="73">
        <f>1596+695+766.65+83+12+850</f>
        <v>4002.65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110"/>
      <c r="T47" s="133">
        <f t="shared" si="9"/>
        <v>4002.65</v>
      </c>
      <c r="U47" s="133">
        <f t="shared" si="2"/>
        <v>997.34999999999991</v>
      </c>
    </row>
    <row r="48" spans="1:21" s="55" customFormat="1" ht="12" outlineLevel="1">
      <c r="A48" s="31" t="s">
        <v>62</v>
      </c>
      <c r="B48" s="43" t="s">
        <v>25</v>
      </c>
      <c r="C48" s="44">
        <f>D48/D82</f>
        <v>3.3338667520136554E-2</v>
      </c>
      <c r="D48" s="205">
        <f t="shared" si="11"/>
        <v>833.33333333333337</v>
      </c>
      <c r="E48" s="47">
        <v>10000</v>
      </c>
      <c r="F48" s="126"/>
      <c r="G48" s="73"/>
      <c r="H48" s="73"/>
      <c r="I48" s="73"/>
      <c r="J48" s="73"/>
      <c r="K48" s="73">
        <f>652</f>
        <v>652</v>
      </c>
      <c r="L48" s="73"/>
      <c r="M48" s="73"/>
      <c r="N48" s="73"/>
      <c r="O48" s="73"/>
      <c r="P48" s="73"/>
      <c r="Q48" s="73"/>
      <c r="R48" s="73"/>
      <c r="S48" s="110"/>
      <c r="T48" s="133">
        <f t="shared" si="9"/>
        <v>652</v>
      </c>
      <c r="U48" s="133">
        <f t="shared" si="2"/>
        <v>9348</v>
      </c>
    </row>
    <row r="49" spans="1:21" s="55" customFormat="1" ht="12" outlineLevel="1">
      <c r="A49" s="31" t="s">
        <v>63</v>
      </c>
      <c r="B49" s="68" t="s">
        <v>213</v>
      </c>
      <c r="C49" s="44">
        <f>D49/D82</f>
        <v>1.3335467008054621E-2</v>
      </c>
      <c r="D49" s="205">
        <f t="shared" si="11"/>
        <v>333.33333333333331</v>
      </c>
      <c r="E49" s="47">
        <v>4000</v>
      </c>
      <c r="F49" s="126"/>
      <c r="G49" s="73"/>
      <c r="H49" s="73">
        <f>124</f>
        <v>124</v>
      </c>
      <c r="I49" s="73">
        <f>400+318.15</f>
        <v>718.15</v>
      </c>
      <c r="J49" s="73">
        <f>5320+1402.5</f>
        <v>6722.5</v>
      </c>
      <c r="K49" s="73">
        <v>2760</v>
      </c>
      <c r="L49" s="73"/>
      <c r="M49" s="73"/>
      <c r="N49" s="73"/>
      <c r="O49" s="73"/>
      <c r="P49" s="73"/>
      <c r="Q49" s="73"/>
      <c r="R49" s="73"/>
      <c r="S49" s="110"/>
      <c r="T49" s="133">
        <f t="shared" si="9"/>
        <v>10324.65</v>
      </c>
      <c r="U49" s="133">
        <f t="shared" si="2"/>
        <v>-6324.65</v>
      </c>
    </row>
    <row r="50" spans="1:21" s="55" customFormat="1" ht="12" outlineLevel="1">
      <c r="A50" s="31" t="s">
        <v>64</v>
      </c>
      <c r="B50" s="245" t="s">
        <v>164</v>
      </c>
      <c r="C50" s="44">
        <f>D50/D82</f>
        <v>0.1200192030724916</v>
      </c>
      <c r="D50" s="205">
        <f>E50/12</f>
        <v>3000</v>
      </c>
      <c r="E50" s="248">
        <v>36000</v>
      </c>
      <c r="F50" s="138">
        <v>11670.86</v>
      </c>
      <c r="G50" s="73">
        <f>599+430+40+516+386.5+382</f>
        <v>2353.5</v>
      </c>
      <c r="H50" s="73">
        <f>369+2220+494</f>
        <v>3083</v>
      </c>
      <c r="I50" s="73">
        <f>2100+590+4665+200+160</f>
        <v>7715</v>
      </c>
      <c r="J50" s="73">
        <f>3575.28+800+120+2820+940.5+90+2139+2936+120+550+4008.75</f>
        <v>18099.53</v>
      </c>
      <c r="K50" s="73">
        <f>3988+728+1980+330+116</f>
        <v>7142</v>
      </c>
      <c r="L50" s="73">
        <f>6230.7+125</f>
        <v>6355.7</v>
      </c>
      <c r="M50" s="73">
        <f>4560+4955+1210+1266.48+92+175</f>
        <v>12258.48</v>
      </c>
      <c r="N50" s="73">
        <f>3481.72+4013+2463.22+2018.72+3050.94+150+92+60</f>
        <v>15329.599999999999</v>
      </c>
      <c r="O50" s="96">
        <f>152+1699.74</f>
        <v>1851.74</v>
      </c>
      <c r="P50" s="73">
        <f>266+490+8890+195+1200</f>
        <v>11041</v>
      </c>
      <c r="Q50" s="96">
        <v>9590</v>
      </c>
      <c r="R50" s="73">
        <f>80+360+120+5788</f>
        <v>6348</v>
      </c>
      <c r="S50" s="138"/>
      <c r="T50" s="133">
        <f t="shared" si="9"/>
        <v>101167.55</v>
      </c>
      <c r="U50" s="133">
        <f t="shared" si="2"/>
        <v>-65167.55</v>
      </c>
    </row>
    <row r="51" spans="1:21" s="55" customFormat="1" outlineLevel="1" thickBot="1">
      <c r="A51" s="172" t="s">
        <v>65</v>
      </c>
      <c r="B51" s="173" t="s">
        <v>85</v>
      </c>
      <c r="C51" s="165">
        <f>D51/D82</f>
        <v>2.6670934016109243E-2</v>
      </c>
      <c r="D51" s="211">
        <f>E51/12</f>
        <v>666.66666666666663</v>
      </c>
      <c r="E51" s="84">
        <v>8000</v>
      </c>
      <c r="F51" s="126"/>
      <c r="G51" s="73"/>
      <c r="H51" s="73"/>
      <c r="I51" s="73"/>
      <c r="J51" s="73"/>
      <c r="K51" s="73"/>
      <c r="L51" s="73">
        <v>3000</v>
      </c>
      <c r="M51" s="73"/>
      <c r="N51" s="73"/>
      <c r="O51" s="73"/>
      <c r="P51" s="73"/>
      <c r="Q51" s="73"/>
      <c r="R51" s="73"/>
      <c r="S51" s="110"/>
      <c r="T51" s="133">
        <f t="shared" si="9"/>
        <v>3000</v>
      </c>
      <c r="U51" s="133">
        <f t="shared" si="2"/>
        <v>5000</v>
      </c>
    </row>
    <row r="52" spans="1:21">
      <c r="A52" s="27" t="s">
        <v>113</v>
      </c>
      <c r="B52" s="168" t="s">
        <v>127</v>
      </c>
      <c r="C52" s="174">
        <f>D52/D82</f>
        <v>4.2286765882541211</v>
      </c>
      <c r="D52" s="212">
        <f t="shared" si="11"/>
        <v>105700</v>
      </c>
      <c r="E52" s="237">
        <f t="shared" ref="E52:S52" si="13">SUM(E53:E68)</f>
        <v>1268400</v>
      </c>
      <c r="F52" s="88">
        <f t="shared" si="13"/>
        <v>700</v>
      </c>
      <c r="G52" s="88">
        <f t="shared" si="13"/>
        <v>700</v>
      </c>
      <c r="H52" s="71">
        <f t="shared" si="13"/>
        <v>0</v>
      </c>
      <c r="I52" s="71">
        <f t="shared" si="13"/>
        <v>700</v>
      </c>
      <c r="J52" s="71">
        <f t="shared" si="13"/>
        <v>14793</v>
      </c>
      <c r="K52" s="88">
        <f t="shared" si="13"/>
        <v>280550</v>
      </c>
      <c r="L52" s="71">
        <f t="shared" si="13"/>
        <v>280564</v>
      </c>
      <c r="M52" s="71">
        <f t="shared" si="13"/>
        <v>100700</v>
      </c>
      <c r="N52" s="71">
        <f t="shared" si="13"/>
        <v>130713</v>
      </c>
      <c r="O52" s="88">
        <f>SUM(O54:O68)</f>
        <v>82114</v>
      </c>
      <c r="P52" s="71">
        <f t="shared" si="13"/>
        <v>215217</v>
      </c>
      <c r="Q52" s="71">
        <f t="shared" si="13"/>
        <v>2898</v>
      </c>
      <c r="R52" s="71">
        <f t="shared" si="13"/>
        <v>109764</v>
      </c>
      <c r="S52" s="111">
        <f t="shared" si="13"/>
        <v>1500</v>
      </c>
      <c r="T52" s="163">
        <f t="shared" si="9"/>
        <v>1220213</v>
      </c>
      <c r="U52" s="163">
        <f t="shared" si="2"/>
        <v>48187</v>
      </c>
    </row>
    <row r="53" spans="1:21" s="55" customFormat="1" ht="12" outlineLevel="1">
      <c r="A53" s="31" t="s">
        <v>143</v>
      </c>
      <c r="B53" s="169" t="s">
        <v>206</v>
      </c>
      <c r="C53" s="139">
        <f>D53/D82</f>
        <v>6.6677335040273109E-2</v>
      </c>
      <c r="D53" s="210">
        <f t="shared" si="11"/>
        <v>1666.6666666666667</v>
      </c>
      <c r="E53" s="238">
        <v>20000</v>
      </c>
      <c r="F53" s="89"/>
      <c r="G53" s="89"/>
      <c r="H53" s="73"/>
      <c r="I53" s="73"/>
      <c r="J53" s="73"/>
      <c r="K53" s="123"/>
      <c r="L53" s="73"/>
      <c r="M53" s="73"/>
      <c r="N53" s="73"/>
      <c r="O53" s="123"/>
      <c r="P53" s="73">
        <v>21062</v>
      </c>
      <c r="Q53" s="73"/>
      <c r="R53" s="73">
        <v>8667</v>
      </c>
      <c r="S53" s="110"/>
      <c r="T53" s="133">
        <f t="shared" si="9"/>
        <v>29729</v>
      </c>
      <c r="U53" s="133">
        <f t="shared" si="2"/>
        <v>-9729</v>
      </c>
    </row>
    <row r="54" spans="1:21" s="55" customFormat="1" ht="12" outlineLevel="1">
      <c r="A54" s="31" t="s">
        <v>144</v>
      </c>
      <c r="B54" s="170" t="s">
        <v>205</v>
      </c>
      <c r="C54" s="139">
        <f>D54/D82</f>
        <v>0.20003200512081934</v>
      </c>
      <c r="D54" s="210">
        <f t="shared" si="11"/>
        <v>5000</v>
      </c>
      <c r="E54" s="238">
        <v>60000</v>
      </c>
      <c r="F54" s="89"/>
      <c r="G54" s="89"/>
      <c r="H54" s="73"/>
      <c r="I54" s="73"/>
      <c r="J54" s="73"/>
      <c r="K54" s="73"/>
      <c r="L54" s="73"/>
      <c r="M54" s="73"/>
      <c r="N54" s="73"/>
      <c r="O54" s="73">
        <v>40280</v>
      </c>
      <c r="P54" s="73">
        <v>98495</v>
      </c>
      <c r="Q54" s="73"/>
      <c r="R54" s="73"/>
      <c r="S54" s="110"/>
      <c r="T54" s="133">
        <f t="shared" si="9"/>
        <v>138775</v>
      </c>
      <c r="U54" s="133">
        <f t="shared" si="2"/>
        <v>-78775</v>
      </c>
    </row>
    <row r="55" spans="1:21" s="55" customFormat="1" ht="12" outlineLevel="1">
      <c r="A55" s="31" t="s">
        <v>145</v>
      </c>
      <c r="B55" s="170" t="s">
        <v>122</v>
      </c>
      <c r="C55" s="139">
        <f>D55/D82</f>
        <v>0</v>
      </c>
      <c r="D55" s="210">
        <f t="shared" si="11"/>
        <v>0</v>
      </c>
      <c r="E55" s="238">
        <v>0</v>
      </c>
      <c r="F55" s="89"/>
      <c r="G55" s="89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110"/>
      <c r="T55" s="133">
        <f t="shared" si="9"/>
        <v>0</v>
      </c>
      <c r="U55" s="133">
        <f t="shared" si="2"/>
        <v>0</v>
      </c>
    </row>
    <row r="56" spans="1:21" s="55" customFormat="1" ht="12" outlineLevel="1">
      <c r="A56" s="31" t="s">
        <v>146</v>
      </c>
      <c r="B56" s="169" t="s">
        <v>207</v>
      </c>
      <c r="C56" s="139">
        <f>D56/D82</f>
        <v>4.0006401024163869E-2</v>
      </c>
      <c r="D56" s="210">
        <f t="shared" si="11"/>
        <v>1000</v>
      </c>
      <c r="E56" s="238">
        <v>12000</v>
      </c>
      <c r="F56" s="89"/>
      <c r="G56" s="89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110"/>
      <c r="T56" s="133">
        <f t="shared" si="9"/>
        <v>0</v>
      </c>
      <c r="U56" s="133">
        <f t="shared" si="2"/>
        <v>12000</v>
      </c>
    </row>
    <row r="57" spans="1:21" s="55" customFormat="1" ht="12" outlineLevel="1">
      <c r="A57" s="31" t="s">
        <v>147</v>
      </c>
      <c r="B57" s="170" t="s">
        <v>190</v>
      </c>
      <c r="C57" s="139">
        <f>D57/D82</f>
        <v>2.0003200512081935E-2</v>
      </c>
      <c r="D57" s="210">
        <f t="shared" si="11"/>
        <v>500</v>
      </c>
      <c r="E57" s="238">
        <v>6000</v>
      </c>
      <c r="F57" s="89"/>
      <c r="G57" s="89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110"/>
      <c r="T57" s="133">
        <f t="shared" si="9"/>
        <v>0</v>
      </c>
      <c r="U57" s="133">
        <f t="shared" si="2"/>
        <v>6000</v>
      </c>
    </row>
    <row r="58" spans="1:21" s="55" customFormat="1" ht="12" outlineLevel="1">
      <c r="A58" s="31" t="s">
        <v>148</v>
      </c>
      <c r="B58" s="134" t="s">
        <v>188</v>
      </c>
      <c r="C58" s="139">
        <f>D58/D82</f>
        <v>0.56675734784232146</v>
      </c>
      <c r="D58" s="210">
        <f t="shared" si="11"/>
        <v>14166.666666666666</v>
      </c>
      <c r="E58" s="249">
        <v>170000</v>
      </c>
      <c r="F58" s="89"/>
      <c r="G58" s="89"/>
      <c r="H58" s="73"/>
      <c r="I58" s="73"/>
      <c r="J58" s="73"/>
      <c r="K58" s="73"/>
      <c r="L58" s="73">
        <v>59000</v>
      </c>
      <c r="M58" s="73"/>
      <c r="N58" s="73">
        <v>24800</v>
      </c>
      <c r="O58" s="73"/>
      <c r="P58" s="73"/>
      <c r="Q58" s="73"/>
      <c r="R58" s="73">
        <f>27776+59105+7000</f>
        <v>93881</v>
      </c>
      <c r="S58" s="110"/>
      <c r="T58" s="133">
        <f t="shared" si="9"/>
        <v>177681</v>
      </c>
      <c r="U58" s="133">
        <f t="shared" si="2"/>
        <v>-7681</v>
      </c>
    </row>
    <row r="59" spans="1:21" s="55" customFormat="1" ht="12" outlineLevel="1">
      <c r="A59" s="31" t="s">
        <v>149</v>
      </c>
      <c r="B59" s="169" t="s">
        <v>208</v>
      </c>
      <c r="C59" s="139">
        <f>D59/D82</f>
        <v>1.3335467008054621E-2</v>
      </c>
      <c r="D59" s="210">
        <f t="shared" si="11"/>
        <v>333.33333333333331</v>
      </c>
      <c r="E59" s="238">
        <v>4000</v>
      </c>
      <c r="F59" s="89"/>
      <c r="G59" s="89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>
        <v>5556</v>
      </c>
      <c r="S59" s="110"/>
      <c r="T59" s="133">
        <f t="shared" si="9"/>
        <v>5556</v>
      </c>
      <c r="U59" s="133">
        <f t="shared" si="2"/>
        <v>-1556</v>
      </c>
    </row>
    <row r="60" spans="1:21" s="55" customFormat="1" ht="12" outlineLevel="1">
      <c r="A60" s="31" t="s">
        <v>150</v>
      </c>
      <c r="B60" s="170" t="s">
        <v>209</v>
      </c>
      <c r="C60" s="139">
        <f>D60/D82</f>
        <v>2.8004480716914706E-2</v>
      </c>
      <c r="D60" s="210">
        <f t="shared" si="11"/>
        <v>700</v>
      </c>
      <c r="E60" s="238">
        <v>8400</v>
      </c>
      <c r="F60" s="89">
        <f>700</f>
        <v>700</v>
      </c>
      <c r="G60" s="89">
        <v>700</v>
      </c>
      <c r="H60" s="73"/>
      <c r="I60" s="73">
        <v>700</v>
      </c>
      <c r="J60" s="73">
        <v>700</v>
      </c>
      <c r="K60" s="73">
        <v>700</v>
      </c>
      <c r="L60" s="73">
        <v>700</v>
      </c>
      <c r="M60" s="73">
        <v>700</v>
      </c>
      <c r="N60" s="73">
        <v>700</v>
      </c>
      <c r="O60" s="73">
        <v>700</v>
      </c>
      <c r="P60" s="73">
        <v>700</v>
      </c>
      <c r="Q60" s="73"/>
      <c r="R60" s="73">
        <v>700</v>
      </c>
      <c r="S60" s="110">
        <v>700</v>
      </c>
      <c r="T60" s="133">
        <f t="shared" si="9"/>
        <v>7700</v>
      </c>
      <c r="U60" s="133">
        <f t="shared" si="2"/>
        <v>700</v>
      </c>
    </row>
    <row r="61" spans="1:21" s="55" customFormat="1" ht="12" outlineLevel="1">
      <c r="A61" s="31" t="s">
        <v>151</v>
      </c>
      <c r="B61" s="169" t="s">
        <v>187</v>
      </c>
      <c r="C61" s="139">
        <f>D61/D82</f>
        <v>0.14002240358457352</v>
      </c>
      <c r="D61" s="210">
        <f t="shared" si="11"/>
        <v>3500</v>
      </c>
      <c r="E61" s="238">
        <v>42000</v>
      </c>
      <c r="F61" s="89"/>
      <c r="G61" s="89"/>
      <c r="H61" s="73"/>
      <c r="I61" s="73"/>
      <c r="J61" s="73">
        <f>4703+7790</f>
        <v>12493</v>
      </c>
      <c r="K61" s="73"/>
      <c r="L61" s="73">
        <v>2630</v>
      </c>
      <c r="M61" s="73"/>
      <c r="N61" s="123">
        <v>5213</v>
      </c>
      <c r="O61" s="73"/>
      <c r="P61" s="73"/>
      <c r="Q61" s="73">
        <v>2898</v>
      </c>
      <c r="R61" s="73">
        <v>960</v>
      </c>
      <c r="S61" s="110">
        <v>800</v>
      </c>
      <c r="T61" s="133">
        <f t="shared" si="9"/>
        <v>24994</v>
      </c>
      <c r="U61" s="133">
        <f t="shared" si="2"/>
        <v>17006</v>
      </c>
    </row>
    <row r="62" spans="1:21" s="55" customFormat="1" ht="12" outlineLevel="1">
      <c r="A62" s="31" t="s">
        <v>152</v>
      </c>
      <c r="B62" s="169" t="s">
        <v>210</v>
      </c>
      <c r="C62" s="139">
        <f>D62/D82</f>
        <v>8.0012802048327739E-2</v>
      </c>
      <c r="D62" s="210">
        <f t="shared" si="11"/>
        <v>2000</v>
      </c>
      <c r="E62" s="238">
        <v>24000</v>
      </c>
      <c r="F62" s="89"/>
      <c r="G62" s="89"/>
      <c r="H62" s="73"/>
      <c r="I62" s="73"/>
      <c r="J62" s="73"/>
      <c r="K62" s="73"/>
      <c r="L62" s="73">
        <v>16540</v>
      </c>
      <c r="M62" s="73"/>
      <c r="N62" s="73"/>
      <c r="O62" s="73">
        <v>7800</v>
      </c>
      <c r="P62" s="73"/>
      <c r="Q62" s="73"/>
      <c r="R62" s="73"/>
      <c r="S62" s="110"/>
      <c r="T62" s="133">
        <f t="shared" si="9"/>
        <v>24340</v>
      </c>
      <c r="U62" s="133">
        <f t="shared" si="2"/>
        <v>-340</v>
      </c>
    </row>
    <row r="63" spans="1:21" s="55" customFormat="1" ht="12" outlineLevel="1">
      <c r="A63" s="31" t="s">
        <v>153</v>
      </c>
      <c r="B63" s="175" t="s">
        <v>191</v>
      </c>
      <c r="C63" s="139">
        <f>D63/D82</f>
        <v>2.0003200512081935E-2</v>
      </c>
      <c r="D63" s="213">
        <f t="shared" ref="D63:D67" si="14">E63/12</f>
        <v>500</v>
      </c>
      <c r="E63" s="239">
        <v>6000</v>
      </c>
      <c r="F63" s="89"/>
      <c r="G63" s="89"/>
      <c r="H63" s="73"/>
      <c r="I63" s="73"/>
      <c r="J63" s="73">
        <f>1600</f>
        <v>1600</v>
      </c>
      <c r="K63" s="73"/>
      <c r="L63" s="73">
        <f>454+1240</f>
        <v>1694</v>
      </c>
      <c r="M63" s="73"/>
      <c r="N63" s="73"/>
      <c r="O63" s="73">
        <v>3334</v>
      </c>
      <c r="P63" s="261">
        <f>31600+35400</f>
        <v>67000</v>
      </c>
      <c r="Q63" s="73"/>
      <c r="R63" s="73"/>
      <c r="S63" s="110"/>
      <c r="T63" s="133">
        <f t="shared" si="9"/>
        <v>73628</v>
      </c>
      <c r="U63" s="133">
        <f t="shared" si="2"/>
        <v>-67628</v>
      </c>
    </row>
    <row r="64" spans="1:21" s="55" customFormat="1" ht="12" outlineLevel="1">
      <c r="A64" s="31" t="s">
        <v>154</v>
      </c>
      <c r="B64" s="171" t="s">
        <v>86</v>
      </c>
      <c r="C64" s="139">
        <f>D64/D82</f>
        <v>0.13335467008054622</v>
      </c>
      <c r="D64" s="213">
        <f t="shared" si="14"/>
        <v>3333.3333333333335</v>
      </c>
      <c r="E64" s="239">
        <v>40000</v>
      </c>
      <c r="F64" s="98"/>
      <c r="G64" s="98"/>
      <c r="H64" s="93"/>
      <c r="I64" s="73"/>
      <c r="J64" s="96"/>
      <c r="K64" s="96"/>
      <c r="L64" s="96"/>
      <c r="M64" s="96"/>
      <c r="N64" s="96"/>
      <c r="O64" s="96">
        <v>30000</v>
      </c>
      <c r="P64" s="96">
        <f>13460+14500</f>
        <v>27960</v>
      </c>
      <c r="Q64" s="96"/>
      <c r="R64" s="96"/>
      <c r="S64" s="125"/>
      <c r="T64" s="133">
        <f t="shared" si="9"/>
        <v>57960</v>
      </c>
      <c r="U64" s="133">
        <f t="shared" si="2"/>
        <v>-17960</v>
      </c>
    </row>
    <row r="65" spans="1:21" s="55" customFormat="1" ht="12" outlineLevel="1">
      <c r="A65" s="31" t="s">
        <v>155</v>
      </c>
      <c r="B65" s="166" t="s">
        <v>24</v>
      </c>
      <c r="C65" s="139">
        <f>D65/D82</f>
        <v>1.3335467008054621E-2</v>
      </c>
      <c r="D65" s="214">
        <f t="shared" si="14"/>
        <v>333.33333333333331</v>
      </c>
      <c r="E65" s="240">
        <v>4000</v>
      </c>
      <c r="F65" s="89"/>
      <c r="G65" s="89"/>
      <c r="H65" s="12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110"/>
      <c r="T65" s="133">
        <f t="shared" si="9"/>
        <v>0</v>
      </c>
      <c r="U65" s="133">
        <f t="shared" si="2"/>
        <v>4000</v>
      </c>
    </row>
    <row r="66" spans="1:21" s="55" customFormat="1" ht="12" outlineLevel="1">
      <c r="A66" s="172" t="s">
        <v>156</v>
      </c>
      <c r="B66" s="252" t="s">
        <v>195</v>
      </c>
      <c r="C66" s="235">
        <f>D66/D82</f>
        <v>2.3003680588894224</v>
      </c>
      <c r="D66" s="215">
        <f t="shared" si="14"/>
        <v>57500</v>
      </c>
      <c r="E66" s="250">
        <v>690000</v>
      </c>
      <c r="F66" s="89"/>
      <c r="G66" s="73"/>
      <c r="H66" s="73"/>
      <c r="I66" s="73"/>
      <c r="J66" s="73"/>
      <c r="K66" s="73">
        <f>179850+100000</f>
        <v>279850</v>
      </c>
      <c r="L66" s="93">
        <f>100000+100000</f>
        <v>200000</v>
      </c>
      <c r="M66" s="73">
        <v>100000</v>
      </c>
      <c r="N66" s="73">
        <f>50000+50000</f>
        <v>100000</v>
      </c>
      <c r="O66" s="93"/>
      <c r="P66" s="73"/>
      <c r="Q66" s="73"/>
      <c r="R66" s="93"/>
      <c r="S66" s="138"/>
      <c r="T66" s="133">
        <f t="shared" si="9"/>
        <v>679850</v>
      </c>
      <c r="U66" s="133">
        <f>E66-T66</f>
        <v>10150</v>
      </c>
    </row>
    <row r="67" spans="1:21" s="55" customFormat="1" ht="12" outlineLevel="1">
      <c r="A67" s="241" t="s">
        <v>157</v>
      </c>
      <c r="B67" s="236" t="s">
        <v>186</v>
      </c>
      <c r="C67" s="139">
        <f>D67/D82</f>
        <v>4.0006401024163869E-2</v>
      </c>
      <c r="D67" s="214">
        <f t="shared" si="14"/>
        <v>1000</v>
      </c>
      <c r="E67" s="234">
        <v>12000</v>
      </c>
      <c r="F67" s="89"/>
      <c r="G67" s="73"/>
      <c r="H67" s="73"/>
      <c r="I67" s="73"/>
      <c r="J67" s="73"/>
      <c r="K67" s="73"/>
      <c r="L67" s="93"/>
      <c r="M67" s="73"/>
      <c r="N67" s="73"/>
      <c r="O67" s="93"/>
      <c r="P67" s="73"/>
      <c r="Q67" s="73"/>
      <c r="R67" s="53"/>
      <c r="S67" s="138"/>
      <c r="T67" s="133">
        <f t="shared" si="9"/>
        <v>0</v>
      </c>
      <c r="U67" s="133">
        <f t="shared" si="2"/>
        <v>12000</v>
      </c>
    </row>
    <row r="68" spans="1:21" s="55" customFormat="1" outlineLevel="1" thickBot="1">
      <c r="A68" s="242" t="s">
        <v>158</v>
      </c>
      <c r="B68" s="253" t="s">
        <v>196</v>
      </c>
      <c r="C68" s="243">
        <f>D68/D82</f>
        <v>0.56675734784232146</v>
      </c>
      <c r="D68" s="244">
        <f t="shared" si="11"/>
        <v>14166.666666666666</v>
      </c>
      <c r="E68" s="251">
        <v>170000</v>
      </c>
      <c r="F68" s="89"/>
      <c r="G68" s="73"/>
      <c r="H68" s="73"/>
      <c r="I68" s="73"/>
      <c r="J68" s="73"/>
      <c r="K68" s="73"/>
      <c r="L68" s="93"/>
      <c r="M68" s="73"/>
      <c r="N68" s="73"/>
      <c r="O68" s="93"/>
      <c r="P68" s="73"/>
      <c r="Q68" s="73"/>
      <c r="R68" s="53"/>
      <c r="S68" s="138"/>
      <c r="T68" s="161">
        <f t="shared" si="9"/>
        <v>0</v>
      </c>
      <c r="U68" s="133">
        <f t="shared" si="2"/>
        <v>170000</v>
      </c>
    </row>
    <row r="69" spans="1:21" ht="13.5" thickBot="1">
      <c r="A69" s="26">
        <v>13</v>
      </c>
      <c r="B69" s="6" t="s">
        <v>26</v>
      </c>
      <c r="C69" s="36">
        <f>D69/D82</f>
        <v>0</v>
      </c>
      <c r="D69" s="203">
        <f t="shared" si="11"/>
        <v>0</v>
      </c>
      <c r="E69" s="64">
        <v>0</v>
      </c>
      <c r="F69" s="119">
        <v>64260</v>
      </c>
      <c r="G69" s="97"/>
      <c r="H69" s="91">
        <v>800</v>
      </c>
      <c r="I69" s="91"/>
      <c r="J69" s="91"/>
      <c r="K69" s="91"/>
      <c r="L69" s="91"/>
      <c r="M69" s="91"/>
      <c r="N69" s="91"/>
      <c r="O69" s="91">
        <v>7540</v>
      </c>
      <c r="P69" s="91"/>
      <c r="Q69" s="91"/>
      <c r="R69" s="91"/>
      <c r="S69" s="119"/>
      <c r="T69" s="164">
        <f t="shared" si="9"/>
        <v>8340</v>
      </c>
      <c r="U69" s="146">
        <f>E69-T69</f>
        <v>-8340</v>
      </c>
    </row>
    <row r="70" spans="1:21">
      <c r="A70" s="222">
        <v>14</v>
      </c>
      <c r="B70" s="223" t="s">
        <v>119</v>
      </c>
      <c r="C70" s="224">
        <f>D70/D82</f>
        <v>-2.8348135701712276</v>
      </c>
      <c r="D70" s="225">
        <f t="shared" si="11"/>
        <v>-70859</v>
      </c>
      <c r="E70" s="226">
        <f>SUM(E71:E77)</f>
        <v>-850308</v>
      </c>
      <c r="F70" s="232">
        <f>SUM(F71:F77)</f>
        <v>4500</v>
      </c>
      <c r="G70" s="233">
        <f>SUM(G71:G77)</f>
        <v>59719.25</v>
      </c>
      <c r="H70" s="229">
        <f>SUM(H71:H77)</f>
        <v>12000</v>
      </c>
      <c r="I70" s="233">
        <f t="shared" ref="I70:S70" si="15">SUM(I71:I77)</f>
        <v>143619.18</v>
      </c>
      <c r="J70" s="229">
        <f t="shared" si="15"/>
        <v>178235.47</v>
      </c>
      <c r="K70" s="233">
        <f t="shared" si="15"/>
        <v>7901.63</v>
      </c>
      <c r="L70" s="229">
        <f t="shared" si="15"/>
        <v>32850.26</v>
      </c>
      <c r="M70" s="233">
        <f t="shared" si="15"/>
        <v>200423.27</v>
      </c>
      <c r="N70" s="229">
        <f t="shared" si="15"/>
        <v>8825.2099999999991</v>
      </c>
      <c r="O70" s="233">
        <f t="shared" si="15"/>
        <v>15872.51</v>
      </c>
      <c r="P70" s="229">
        <f t="shared" si="15"/>
        <v>185931.73</v>
      </c>
      <c r="Q70" s="233">
        <f t="shared" si="15"/>
        <v>28360.080000000002</v>
      </c>
      <c r="R70" s="229">
        <f t="shared" si="15"/>
        <v>19520.29</v>
      </c>
      <c r="S70" s="233">
        <f t="shared" si="15"/>
        <v>4500</v>
      </c>
      <c r="T70" s="230">
        <f>-SUM(G70:S70)</f>
        <v>-897758.88</v>
      </c>
      <c r="U70" s="231">
        <f>E70-T70</f>
        <v>47450.880000000005</v>
      </c>
    </row>
    <row r="71" spans="1:21" outlineLevel="1">
      <c r="A71" s="217" t="s">
        <v>171</v>
      </c>
      <c r="B71" s="218" t="s">
        <v>175</v>
      </c>
      <c r="C71" s="219">
        <f>D71/D82</f>
        <v>-1.5710513682189151</v>
      </c>
      <c r="D71" s="220">
        <f t="shared" ref="D71:D77" si="16">E71/12</f>
        <v>-39270</v>
      </c>
      <c r="E71" s="221">
        <v>-471240</v>
      </c>
      <c r="F71" s="177"/>
      <c r="G71" s="177"/>
      <c r="H71" s="178"/>
      <c r="I71" s="179">
        <v>117810</v>
      </c>
      <c r="J71" s="178">
        <f>39270*3</f>
        <v>117810</v>
      </c>
      <c r="K71" s="178"/>
      <c r="L71" s="178"/>
      <c r="M71" s="178">
        <v>117810</v>
      </c>
      <c r="N71" s="178"/>
      <c r="O71" s="178"/>
      <c r="P71" s="178">
        <v>117810</v>
      </c>
      <c r="Q71" s="178"/>
      <c r="R71" s="178"/>
      <c r="S71" s="179"/>
      <c r="T71" s="227">
        <f>SUM(G71:S71)</f>
        <v>471240</v>
      </c>
      <c r="U71" s="228">
        <f>-E71-T71</f>
        <v>0</v>
      </c>
    </row>
    <row r="72" spans="1:21" outlineLevel="1">
      <c r="A72" s="194" t="s">
        <v>172</v>
      </c>
      <c r="B72" s="180" t="s">
        <v>176</v>
      </c>
      <c r="C72" s="181">
        <f>D72/D82</f>
        <v>-0.7036725876140183</v>
      </c>
      <c r="D72" s="195">
        <f t="shared" si="16"/>
        <v>-17589</v>
      </c>
      <c r="E72" s="184">
        <v>-211068</v>
      </c>
      <c r="F72" s="183"/>
      <c r="G72" s="182">
        <v>52767</v>
      </c>
      <c r="H72" s="182"/>
      <c r="I72" s="182"/>
      <c r="J72" s="182">
        <f>17589+35178</f>
        <v>52767</v>
      </c>
      <c r="K72" s="182"/>
      <c r="L72" s="182"/>
      <c r="M72" s="182">
        <v>70356</v>
      </c>
      <c r="N72" s="182"/>
      <c r="O72" s="182"/>
      <c r="P72" s="182">
        <v>52767</v>
      </c>
      <c r="Q72" s="182">
        <v>17589</v>
      </c>
      <c r="R72" s="182"/>
      <c r="S72" s="191"/>
      <c r="T72" s="192">
        <f>SUM(G72:S72)</f>
        <v>246246</v>
      </c>
      <c r="U72" s="192">
        <f>-E72-T72</f>
        <v>-35178</v>
      </c>
    </row>
    <row r="73" spans="1:21" outlineLevel="1">
      <c r="A73" s="194" t="s">
        <v>173</v>
      </c>
      <c r="B73" s="180" t="s">
        <v>214</v>
      </c>
      <c r="C73" s="181">
        <f>D73/D82</f>
        <v>-0.18002880460873741</v>
      </c>
      <c r="D73" s="195">
        <f t="shared" si="16"/>
        <v>-4500</v>
      </c>
      <c r="E73" s="184">
        <v>-54000</v>
      </c>
      <c r="F73" s="183"/>
      <c r="G73" s="182"/>
      <c r="H73" s="182">
        <v>12000</v>
      </c>
      <c r="I73" s="182">
        <v>6000</v>
      </c>
      <c r="J73" s="182"/>
      <c r="K73" s="182"/>
      <c r="L73" s="182">
        <v>15000</v>
      </c>
      <c r="M73" s="182">
        <v>3000</v>
      </c>
      <c r="N73" s="182"/>
      <c r="O73" s="246"/>
      <c r="P73" s="182">
        <v>9000</v>
      </c>
      <c r="Q73" s="182">
        <v>3000</v>
      </c>
      <c r="R73" s="182">
        <v>3000</v>
      </c>
      <c r="S73" s="247">
        <v>3000</v>
      </c>
      <c r="T73" s="227">
        <f t="shared" ref="T73:T77" si="17">SUM(G73:S73)</f>
        <v>54000</v>
      </c>
      <c r="U73" s="227">
        <f t="shared" ref="U73:U77" si="18">-E73-T73</f>
        <v>0</v>
      </c>
    </row>
    <row r="74" spans="1:21" outlineLevel="1">
      <c r="A74" s="194" t="s">
        <v>174</v>
      </c>
      <c r="B74" s="180" t="s">
        <v>177</v>
      </c>
      <c r="C74" s="181">
        <f>D74/D82</f>
        <v>-0.1200192030724916</v>
      </c>
      <c r="D74" s="195">
        <f t="shared" si="16"/>
        <v>-3000</v>
      </c>
      <c r="E74" s="184">
        <v>-36000</v>
      </c>
      <c r="F74" s="183"/>
      <c r="G74" s="182"/>
      <c r="H74" s="182"/>
      <c r="I74" s="182">
        <v>9000</v>
      </c>
      <c r="J74" s="182"/>
      <c r="K74" s="182"/>
      <c r="L74" s="182">
        <v>9000</v>
      </c>
      <c r="M74" s="182"/>
      <c r="N74" s="182"/>
      <c r="O74" s="182">
        <v>9000</v>
      </c>
      <c r="P74" s="182"/>
      <c r="Q74" s="182"/>
      <c r="R74" s="182">
        <v>9000</v>
      </c>
      <c r="S74" s="191"/>
      <c r="T74" s="192">
        <f t="shared" si="17"/>
        <v>36000</v>
      </c>
      <c r="U74" s="193">
        <f t="shared" si="18"/>
        <v>0</v>
      </c>
    </row>
    <row r="75" spans="1:21" outlineLevel="1">
      <c r="A75" s="194" t="s">
        <v>179</v>
      </c>
      <c r="B75" s="180" t="s">
        <v>178</v>
      </c>
      <c r="C75" s="181">
        <f>D75/D82</f>
        <v>-6.00096015362458E-2</v>
      </c>
      <c r="D75" s="195">
        <f t="shared" si="16"/>
        <v>-1500</v>
      </c>
      <c r="E75" s="184">
        <v>-18000</v>
      </c>
      <c r="F75" s="247">
        <v>4500</v>
      </c>
      <c r="G75" s="182"/>
      <c r="H75" s="182"/>
      <c r="I75" s="182">
        <v>3000</v>
      </c>
      <c r="J75" s="182">
        <v>1500</v>
      </c>
      <c r="K75" s="182">
        <v>1500</v>
      </c>
      <c r="L75" s="182">
        <v>1500</v>
      </c>
      <c r="M75" s="182">
        <v>1500</v>
      </c>
      <c r="N75" s="182">
        <v>1500</v>
      </c>
      <c r="O75" s="182">
        <v>1500</v>
      </c>
      <c r="P75" s="182">
        <v>1500</v>
      </c>
      <c r="Q75" s="246">
        <v>1500</v>
      </c>
      <c r="R75" s="246">
        <v>1500</v>
      </c>
      <c r="S75" s="247">
        <v>1500</v>
      </c>
      <c r="T75" s="227">
        <f t="shared" si="17"/>
        <v>18000</v>
      </c>
      <c r="U75" s="227">
        <f t="shared" si="18"/>
        <v>0</v>
      </c>
    </row>
    <row r="76" spans="1:21" outlineLevel="1">
      <c r="A76" s="194" t="s">
        <v>180</v>
      </c>
      <c r="B76" s="259" t="s">
        <v>183</v>
      </c>
      <c r="C76" s="181">
        <f>D76/D82</f>
        <v>-0.20003200512081934</v>
      </c>
      <c r="D76" s="195">
        <f t="shared" si="16"/>
        <v>-5000</v>
      </c>
      <c r="E76" s="184">
        <v>-60000</v>
      </c>
      <c r="F76" s="183"/>
      <c r="G76" s="182">
        <v>6952.25</v>
      </c>
      <c r="H76" s="182"/>
      <c r="I76" s="182">
        <v>7809.18</v>
      </c>
      <c r="J76" s="182">
        <v>6158.47</v>
      </c>
      <c r="K76" s="182">
        <v>6401.63</v>
      </c>
      <c r="L76" s="182">
        <v>7350.26</v>
      </c>
      <c r="M76" s="182">
        <v>7757.27</v>
      </c>
      <c r="N76" s="182">
        <v>7325.21</v>
      </c>
      <c r="O76" s="182">
        <v>5372.51</v>
      </c>
      <c r="P76" s="182">
        <v>4854.7299999999996</v>
      </c>
      <c r="Q76" s="246">
        <v>6271.08</v>
      </c>
      <c r="R76" s="246">
        <v>6020.29</v>
      </c>
      <c r="S76" s="191"/>
      <c r="T76" s="192">
        <f t="shared" si="17"/>
        <v>72272.87999999999</v>
      </c>
      <c r="U76" s="193">
        <f t="shared" si="18"/>
        <v>-12272.87999999999</v>
      </c>
    </row>
    <row r="77" spans="1:21" ht="13.5" outlineLevel="1" thickBot="1">
      <c r="A77" s="196" t="s">
        <v>182</v>
      </c>
      <c r="B77" s="198" t="s">
        <v>181</v>
      </c>
      <c r="C77" s="199">
        <f>D77/D82</f>
        <v>0</v>
      </c>
      <c r="D77" s="197">
        <f t="shared" si="16"/>
        <v>0</v>
      </c>
      <c r="E77" s="185">
        <v>0</v>
      </c>
      <c r="F77" s="255"/>
      <c r="G77" s="177"/>
      <c r="H77" s="178"/>
      <c r="I77" s="179"/>
      <c r="J77" s="178"/>
      <c r="K77" s="178"/>
      <c r="L77" s="178"/>
      <c r="M77" s="178"/>
      <c r="N77" s="178"/>
      <c r="O77" s="178"/>
      <c r="P77" s="178"/>
      <c r="Q77" s="178"/>
      <c r="R77" s="178"/>
      <c r="S77" s="179"/>
      <c r="T77" s="227">
        <f t="shared" si="17"/>
        <v>0</v>
      </c>
      <c r="U77" s="228">
        <f t="shared" si="18"/>
        <v>0</v>
      </c>
    </row>
    <row r="78" spans="1:21" ht="13.5" thickBot="1">
      <c r="A78" s="200">
        <v>15</v>
      </c>
      <c r="B78" s="201" t="s">
        <v>120</v>
      </c>
      <c r="C78" s="143">
        <f>D78/D82</f>
        <v>9.3348269056382355E-2</v>
      </c>
      <c r="D78" s="202">
        <f t="shared" si="11"/>
        <v>2333.3333333333335</v>
      </c>
      <c r="E78" s="145">
        <v>28000</v>
      </c>
      <c r="F78" s="119">
        <v>11390</v>
      </c>
      <c r="G78" s="91"/>
      <c r="H78" s="91"/>
      <c r="I78" s="190"/>
      <c r="J78" s="91"/>
      <c r="K78" s="91"/>
      <c r="L78" s="91"/>
      <c r="M78" s="91"/>
      <c r="N78" s="91"/>
      <c r="O78" s="91"/>
      <c r="P78" s="91"/>
      <c r="Q78" s="91"/>
      <c r="R78" s="91"/>
      <c r="S78" s="119">
        <v>34536</v>
      </c>
      <c r="T78" s="146">
        <f>SUM(G78:S78)</f>
        <v>34536</v>
      </c>
      <c r="U78" s="146">
        <f>E78-T78</f>
        <v>-6536</v>
      </c>
    </row>
    <row r="79" spans="1:21" ht="13.5" thickBot="1">
      <c r="A79" s="186">
        <v>16</v>
      </c>
      <c r="B79" s="187" t="s">
        <v>193</v>
      </c>
      <c r="C79" s="188">
        <f>D79/D82</f>
        <v>-0.4021976849629274</v>
      </c>
      <c r="D79" s="216">
        <f t="shared" si="11"/>
        <v>-10053.333333333334</v>
      </c>
      <c r="E79" s="189">
        <v>-120640</v>
      </c>
      <c r="F79" s="157"/>
      <c r="G79" s="158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60"/>
      <c r="T79" s="131">
        <f>E79</f>
        <v>-120640</v>
      </c>
      <c r="U79" s="79"/>
    </row>
    <row r="80" spans="1:21" ht="13.5" thickBot="1">
      <c r="A80" s="269" t="s">
        <v>27</v>
      </c>
      <c r="B80" s="270"/>
      <c r="C80" s="61">
        <f>D80/D82</f>
        <v>12.000425068010882</v>
      </c>
      <c r="D80" s="62">
        <f t="shared" si="11"/>
        <v>299962.625</v>
      </c>
      <c r="E80" s="63">
        <f>E5+E6+E7+E8+E9+E12+E15+E16+E23+E28+E44+E52+E69+E70+E78+E79</f>
        <v>3599551.5</v>
      </c>
      <c r="F80" s="114">
        <f>F5+F6+F7+F8+F9+F12+F15+F16+F23+F28+F44+F52+F69-F70+F78-F79</f>
        <v>170535.36</v>
      </c>
      <c r="G80" s="114">
        <f>G5+G6+G7+G8+G9+G12+G15+G16+G23+G28+G44+G52+G69-G70+G78-G79</f>
        <v>151257.21000000002</v>
      </c>
      <c r="H80" s="114">
        <f>H5+H6+H7+H8+H9+H12+H15+H16+H23+H28+H44+H52+H69-H70+H78-H79</f>
        <v>199925.73</v>
      </c>
      <c r="I80" s="114">
        <f>I5+I6+I7+I8+I9+I12+I15+I16+I23+I28+I44+I52+I69-I70+J78-I79</f>
        <v>131628.07</v>
      </c>
      <c r="J80" s="114">
        <f>J5+J6+J7+J8+J9+J12+J15+J16+J23+J28+J44+J52+J69-J70+K78-J79</f>
        <v>131278.49999999997</v>
      </c>
      <c r="K80" s="114">
        <f t="shared" ref="K80:S80" si="19">K5+K6+K7+K8+K9+K12+K15+K16+K23+K28+K44+K52+K69-K70+K78-K79</f>
        <v>474324.23</v>
      </c>
      <c r="L80" s="114">
        <f t="shared" si="19"/>
        <v>567903.1</v>
      </c>
      <c r="M80" s="114">
        <f t="shared" si="19"/>
        <v>173298.96000000005</v>
      </c>
      <c r="N80" s="114">
        <f t="shared" si="19"/>
        <v>463282.27999999997</v>
      </c>
      <c r="O80" s="114">
        <f t="shared" si="19"/>
        <v>338642.94999999995</v>
      </c>
      <c r="P80" s="114">
        <f t="shared" si="19"/>
        <v>312842.08999999997</v>
      </c>
      <c r="Q80" s="114">
        <f t="shared" si="19"/>
        <v>267546.78999999998</v>
      </c>
      <c r="R80" s="114">
        <f t="shared" si="19"/>
        <v>453768.26000000007</v>
      </c>
      <c r="S80" s="114">
        <f t="shared" si="19"/>
        <v>106399.14</v>
      </c>
      <c r="T80" s="147">
        <f>T5+T6+T7+T8+T9+T12+T15+T16+T23+T28+T44+T52+T69+T70+T78+T79</f>
        <v>3651457.3099999996</v>
      </c>
      <c r="U80" s="25">
        <f>U5+U6+U7+U8+U9+U12+U15+U16+U23+U28+U44+U52+U69+U70+U78+U79</f>
        <v>-51905.81</v>
      </c>
    </row>
    <row r="81" spans="1:21" s="11" customFormat="1" ht="11.25">
      <c r="G81" s="117"/>
      <c r="H81" s="117"/>
      <c r="I81" s="117"/>
      <c r="J81" s="117"/>
      <c r="K81" s="117"/>
      <c r="R81" s="117"/>
    </row>
    <row r="82" spans="1:21">
      <c r="A82" s="118" t="s">
        <v>28</v>
      </c>
      <c r="B82" s="118"/>
      <c r="C82" s="34"/>
      <c r="D82" s="1">
        <v>24996</v>
      </c>
      <c r="E82" s="2" t="s">
        <v>29</v>
      </c>
      <c r="F82" s="115"/>
      <c r="T82" s="115"/>
    </row>
    <row r="83" spans="1:21" s="11" customFormat="1" ht="11.25">
      <c r="G83" s="116"/>
      <c r="T83" s="116"/>
      <c r="U83" s="116"/>
    </row>
    <row r="84" spans="1:21">
      <c r="A84" s="264" t="s">
        <v>194</v>
      </c>
      <c r="B84" s="264"/>
      <c r="C84" s="33"/>
      <c r="F84" s="115">
        <v>3602671.2</v>
      </c>
      <c r="G84" s="115">
        <f>F84-E80</f>
        <v>3119.7000000001863</v>
      </c>
      <c r="H84" s="115"/>
    </row>
    <row r="85" spans="1:21">
      <c r="A85" s="264" t="s">
        <v>170</v>
      </c>
      <c r="B85" s="264"/>
      <c r="C85" s="33"/>
      <c r="D85" s="35">
        <f>D80/D82</f>
        <v>12.000425068010882</v>
      </c>
      <c r="E85" s="2" t="s">
        <v>31</v>
      </c>
    </row>
    <row r="87" spans="1:21">
      <c r="B87" s="256"/>
    </row>
  </sheetData>
  <sheetProtection password="DC7D" sheet="1" objects="1" scenarios="1" selectLockedCells="1" selectUnlockedCells="1"/>
  <mergeCells count="9">
    <mergeCell ref="A1:E1"/>
    <mergeCell ref="A2:E2"/>
    <mergeCell ref="A3:E3"/>
    <mergeCell ref="A80:B80"/>
    <mergeCell ref="U3:U4"/>
    <mergeCell ref="A84:B84"/>
    <mergeCell ref="A85:B85"/>
    <mergeCell ref="F3:R3"/>
    <mergeCell ref="T3:T4"/>
  </mergeCells>
  <phoneticPr fontId="4" type="noConversion"/>
  <pageMargins left="0.78740157480314965" right="0.19685039370078741" top="0.19685039370078741" bottom="0.19685039370078741" header="0.51181102362204722" footer="0.51181102362204722"/>
  <pageSetup paperSize="8" scale="75" firstPageNumber="0" orientation="landscape" horizontalDpi="300" verticalDpi="300" r:id="rId1"/>
  <headerFooter alignWithMargins="0"/>
  <ignoredErrors>
    <ignoredError sqref="F52:H52 T7 T17:T18 T29:T31 T33 T60 T69 T78 E52 E70 S70 T75 M12 O12" formulaRange="1"/>
    <ignoredError sqref="D80 T19 T80 J7" formula="1"/>
    <ignoredError sqref="A41:A43 A65:A68" twoDigitTextYear="1"/>
    <ignoredError sqref="T70" formula="1" formulaRange="1"/>
    <ignoredError sqref="A52 A44 A28 A23 A15:A16 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>
      <selection activeCell="A2" sqref="A2:E2"/>
    </sheetView>
  </sheetViews>
  <sheetFormatPr defaultRowHeight="12.75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>
      <c r="C1" s="271" t="s">
        <v>162</v>
      </c>
      <c r="D1" s="271"/>
      <c r="E1" s="271"/>
    </row>
    <row r="2" spans="1:5">
      <c r="A2" s="267" t="s">
        <v>0</v>
      </c>
      <c r="B2" s="267"/>
      <c r="C2" s="267"/>
      <c r="D2" s="267"/>
      <c r="E2" s="267"/>
    </row>
    <row r="3" spans="1:5">
      <c r="A3" s="267" t="s">
        <v>116</v>
      </c>
      <c r="B3" s="267"/>
      <c r="C3" s="267"/>
      <c r="D3" s="267"/>
      <c r="E3" s="267"/>
    </row>
    <row r="4" spans="1:5" ht="13.5" thickBot="1">
      <c r="A4" s="268"/>
      <c r="B4" s="268"/>
      <c r="C4" s="268"/>
      <c r="D4" s="268"/>
      <c r="E4" s="268"/>
    </row>
    <row r="5" spans="1:5" ht="39" thickBot="1">
      <c r="A5" s="9" t="s">
        <v>1</v>
      </c>
      <c r="B5" s="10" t="s">
        <v>2</v>
      </c>
      <c r="C5" s="13" t="s">
        <v>161</v>
      </c>
      <c r="D5" s="13" t="s">
        <v>3</v>
      </c>
      <c r="E5" s="20" t="s">
        <v>4</v>
      </c>
    </row>
    <row r="6" spans="1:5" ht="13.5" thickBot="1">
      <c r="A6" s="26">
        <v>1</v>
      </c>
      <c r="B6" s="6" t="s">
        <v>106</v>
      </c>
      <c r="C6" s="36">
        <f>D6/D80</f>
        <v>4.2934603646293468</v>
      </c>
      <c r="D6" s="16">
        <f t="shared" ref="D6:D69" si="0">E6/12</f>
        <v>106915.75</v>
      </c>
      <c r="E6" s="64">
        <v>1282989</v>
      </c>
    </row>
    <row r="7" spans="1:5" ht="13.5" thickBot="1">
      <c r="A7" s="26">
        <v>2</v>
      </c>
      <c r="B7" s="6" t="s">
        <v>117</v>
      </c>
      <c r="C7" s="36">
        <f>D7/D80</f>
        <v>0.6812705806762509</v>
      </c>
      <c r="D7" s="16">
        <f t="shared" si="0"/>
        <v>16965</v>
      </c>
      <c r="E7" s="64">
        <v>203580</v>
      </c>
    </row>
    <row r="8" spans="1:5" ht="13.5" thickBot="1">
      <c r="A8" s="26">
        <v>3</v>
      </c>
      <c r="B8" s="6" t="s">
        <v>118</v>
      </c>
      <c r="C8" s="36">
        <f>D8/D80</f>
        <v>1.7402230075228229</v>
      </c>
      <c r="D8" s="16">
        <f t="shared" si="0"/>
        <v>43335.033333333333</v>
      </c>
      <c r="E8" s="64">
        <v>520020.4</v>
      </c>
    </row>
    <row r="9" spans="1:5" ht="13.5" thickBot="1">
      <c r="A9" s="26">
        <v>4</v>
      </c>
      <c r="B9" s="6" t="s">
        <v>105</v>
      </c>
      <c r="C9" s="36">
        <f>D9/D80</f>
        <v>0.13385805691644581</v>
      </c>
      <c r="D9" s="16">
        <f t="shared" si="0"/>
        <v>3333.3333333333335</v>
      </c>
      <c r="E9" s="64">
        <v>40000</v>
      </c>
    </row>
    <row r="10" spans="1:5">
      <c r="A10" s="137">
        <v>5</v>
      </c>
      <c r="B10" s="7" t="s">
        <v>5</v>
      </c>
      <c r="C10" s="37">
        <f>D10/D80</f>
        <v>3.0118062806200305E-2</v>
      </c>
      <c r="D10" s="17">
        <f t="shared" si="0"/>
        <v>750</v>
      </c>
      <c r="E10" s="65">
        <f>E11+E12</f>
        <v>9000</v>
      </c>
    </row>
    <row r="11" spans="1:5">
      <c r="A11" s="31" t="s">
        <v>45</v>
      </c>
      <c r="B11" s="43" t="s">
        <v>96</v>
      </c>
      <c r="C11" s="44">
        <f>D11/D80</f>
        <v>2.3425159960378018E-2</v>
      </c>
      <c r="D11" s="45">
        <f t="shared" si="0"/>
        <v>583.33333333333337</v>
      </c>
      <c r="E11" s="47">
        <v>7000</v>
      </c>
    </row>
    <row r="12" spans="1:5" ht="13.5" thickBot="1">
      <c r="A12" s="31" t="s">
        <v>46</v>
      </c>
      <c r="B12" s="50" t="s">
        <v>6</v>
      </c>
      <c r="C12" s="51">
        <f>D12/D80</f>
        <v>6.6929028458222895E-3</v>
      </c>
      <c r="D12" s="46">
        <f t="shared" si="0"/>
        <v>166.66666666666666</v>
      </c>
      <c r="E12" s="66">
        <v>2000</v>
      </c>
    </row>
    <row r="13" spans="1:5">
      <c r="A13" s="27" t="s">
        <v>107</v>
      </c>
      <c r="B13" s="7" t="s">
        <v>7</v>
      </c>
      <c r="C13" s="37">
        <f>D13/D80</f>
        <v>0.15393676545391269</v>
      </c>
      <c r="D13" s="17">
        <f t="shared" si="0"/>
        <v>3833.3333333333335</v>
      </c>
      <c r="E13" s="65">
        <f>SUM(E14:E15)</f>
        <v>46000</v>
      </c>
    </row>
    <row r="14" spans="1:5">
      <c r="A14" s="31" t="s">
        <v>131</v>
      </c>
      <c r="B14" s="68" t="s">
        <v>8</v>
      </c>
      <c r="C14" s="44">
        <f>D14/D80</f>
        <v>0.12047225122480122</v>
      </c>
      <c r="D14" s="45">
        <f t="shared" si="0"/>
        <v>3000</v>
      </c>
      <c r="E14" s="47">
        <v>36000</v>
      </c>
    </row>
    <row r="15" spans="1:5">
      <c r="A15" s="31" t="s">
        <v>132</v>
      </c>
      <c r="B15" s="43" t="s">
        <v>9</v>
      </c>
      <c r="C15" s="44">
        <f>D15/D80</f>
        <v>3.3464514229111453E-2</v>
      </c>
      <c r="D15" s="45">
        <f t="shared" si="0"/>
        <v>833.33333333333337</v>
      </c>
      <c r="E15" s="47">
        <f>E16+E17</f>
        <v>10000</v>
      </c>
    </row>
    <row r="16" spans="1:5">
      <c r="A16" s="29" t="s">
        <v>133</v>
      </c>
      <c r="B16" s="3" t="s">
        <v>10</v>
      </c>
      <c r="C16" s="38"/>
      <c r="D16" s="18">
        <f t="shared" si="0"/>
        <v>250</v>
      </c>
      <c r="E16" s="80">
        <v>3000</v>
      </c>
    </row>
    <row r="17" spans="1:5" ht="13.5" thickBot="1">
      <c r="A17" s="30" t="s">
        <v>134</v>
      </c>
      <c r="B17" s="4" t="s">
        <v>71</v>
      </c>
      <c r="C17" s="39"/>
      <c r="D17" s="19">
        <f t="shared" si="0"/>
        <v>583.33333333333337</v>
      </c>
      <c r="E17" s="81">
        <v>7000</v>
      </c>
    </row>
    <row r="18" spans="1:5" ht="13.5" thickBot="1">
      <c r="A18" s="28" t="s">
        <v>108</v>
      </c>
      <c r="B18" s="6" t="s">
        <v>11</v>
      </c>
      <c r="C18" s="36">
        <f>D18/D80</f>
        <v>1.6732257114555726E-2</v>
      </c>
      <c r="D18" s="16">
        <f t="shared" si="0"/>
        <v>416.66666666666669</v>
      </c>
      <c r="E18" s="64">
        <v>5000</v>
      </c>
    </row>
    <row r="19" spans="1:5">
      <c r="A19" s="27" t="s">
        <v>109</v>
      </c>
      <c r="B19" s="7" t="s">
        <v>69</v>
      </c>
      <c r="C19" s="37">
        <f>D19/D80</f>
        <v>0.14356276604288812</v>
      </c>
      <c r="D19" s="17">
        <f t="shared" si="0"/>
        <v>3575</v>
      </c>
      <c r="E19" s="65">
        <f>SUM(E20:E22)</f>
        <v>42900</v>
      </c>
    </row>
    <row r="20" spans="1:5">
      <c r="A20" s="31" t="s">
        <v>47</v>
      </c>
      <c r="B20" s="43" t="s">
        <v>88</v>
      </c>
      <c r="C20" s="44">
        <f>D20/D80</f>
        <v>5.0196771343667172E-2</v>
      </c>
      <c r="D20" s="45">
        <f t="shared" si="0"/>
        <v>1250</v>
      </c>
      <c r="E20" s="47">
        <v>15000</v>
      </c>
    </row>
    <row r="21" spans="1:5">
      <c r="A21" s="31" t="s">
        <v>48</v>
      </c>
      <c r="B21" s="43" t="s">
        <v>72</v>
      </c>
      <c r="C21" s="44">
        <f>D21/D80</f>
        <v>2.007870853746687E-2</v>
      </c>
      <c r="D21" s="45">
        <f t="shared" si="0"/>
        <v>500</v>
      </c>
      <c r="E21" s="47">
        <v>6000</v>
      </c>
    </row>
    <row r="22" spans="1:5">
      <c r="A22" s="31" t="s">
        <v>49</v>
      </c>
      <c r="B22" s="43" t="s">
        <v>68</v>
      </c>
      <c r="C22" s="44">
        <f>D22/D80</f>
        <v>7.3287286161754076E-2</v>
      </c>
      <c r="D22" s="45">
        <f t="shared" si="0"/>
        <v>1825</v>
      </c>
      <c r="E22" s="47">
        <f>SUM(E23:E25)</f>
        <v>21900</v>
      </c>
    </row>
    <row r="23" spans="1:5">
      <c r="A23" s="29" t="s">
        <v>135</v>
      </c>
      <c r="B23" s="3" t="s">
        <v>70</v>
      </c>
      <c r="C23" s="38"/>
      <c r="D23" s="18">
        <f t="shared" si="0"/>
        <v>75</v>
      </c>
      <c r="E23" s="80">
        <v>900</v>
      </c>
    </row>
    <row r="24" spans="1:5">
      <c r="A24" s="29" t="s">
        <v>136</v>
      </c>
      <c r="B24" s="74" t="s">
        <v>94</v>
      </c>
      <c r="C24" s="75"/>
      <c r="D24" s="76">
        <f t="shared" si="0"/>
        <v>500</v>
      </c>
      <c r="E24" s="82">
        <v>6000</v>
      </c>
    </row>
    <row r="25" spans="1:5" ht="13.5" thickBot="1">
      <c r="A25" s="29" t="s">
        <v>137</v>
      </c>
      <c r="B25" s="74" t="s">
        <v>93</v>
      </c>
      <c r="C25" s="75"/>
      <c r="D25" s="76">
        <f t="shared" si="0"/>
        <v>1250</v>
      </c>
      <c r="E25" s="82">
        <v>15000</v>
      </c>
    </row>
    <row r="26" spans="1:5">
      <c r="A26" s="27" t="s">
        <v>110</v>
      </c>
      <c r="B26" s="7" t="s">
        <v>12</v>
      </c>
      <c r="C26" s="37">
        <f>D26/D80</f>
        <v>8.7007736995689769E-2</v>
      </c>
      <c r="D26" s="17">
        <f t="shared" si="0"/>
        <v>2166.6666666666665</v>
      </c>
      <c r="E26" s="65">
        <f>SUM(E27:E31)</f>
        <v>26000</v>
      </c>
    </row>
    <row r="27" spans="1:5">
      <c r="A27" s="31" t="s">
        <v>50</v>
      </c>
      <c r="B27" s="43" t="s">
        <v>13</v>
      </c>
      <c r="C27" s="44">
        <f>D27/D80</f>
        <v>1.6732257114555726E-2</v>
      </c>
      <c r="D27" s="45">
        <f t="shared" si="0"/>
        <v>416.66666666666669</v>
      </c>
      <c r="E27" s="47">
        <v>5000</v>
      </c>
    </row>
    <row r="28" spans="1:5">
      <c r="A28" s="31" t="s">
        <v>51</v>
      </c>
      <c r="B28" s="43" t="s">
        <v>14</v>
      </c>
      <c r="C28" s="44">
        <f>D28/D80</f>
        <v>2.007870853746687E-2</v>
      </c>
      <c r="D28" s="45">
        <f t="shared" si="0"/>
        <v>500</v>
      </c>
      <c r="E28" s="47">
        <v>6000</v>
      </c>
    </row>
    <row r="29" spans="1:5">
      <c r="A29" s="31" t="s">
        <v>52</v>
      </c>
      <c r="B29" s="43" t="s">
        <v>15</v>
      </c>
      <c r="C29" s="44">
        <f>D29/D80</f>
        <v>2.007870853746687E-2</v>
      </c>
      <c r="D29" s="45">
        <f t="shared" si="0"/>
        <v>500</v>
      </c>
      <c r="E29" s="47">
        <v>6000</v>
      </c>
    </row>
    <row r="30" spans="1:5">
      <c r="A30" s="31" t="s">
        <v>53</v>
      </c>
      <c r="B30" s="43" t="s">
        <v>16</v>
      </c>
      <c r="C30" s="44">
        <f>D30/D80</f>
        <v>3.3464514229111448E-3</v>
      </c>
      <c r="D30" s="45">
        <f t="shared" si="0"/>
        <v>83.333333333333329</v>
      </c>
      <c r="E30" s="47">
        <v>1000</v>
      </c>
    </row>
    <row r="31" spans="1:5" ht="13.5" thickBot="1">
      <c r="A31" s="32" t="s">
        <v>54</v>
      </c>
      <c r="B31" s="50" t="s">
        <v>84</v>
      </c>
      <c r="C31" s="51">
        <f>D31/D80</f>
        <v>2.6771611383289158E-2</v>
      </c>
      <c r="D31" s="46">
        <f t="shared" si="0"/>
        <v>666.66666666666663</v>
      </c>
      <c r="E31" s="66">
        <v>8000</v>
      </c>
    </row>
    <row r="32" spans="1:5" ht="25.5">
      <c r="A32" s="27" t="s">
        <v>111</v>
      </c>
      <c r="B32" s="8" t="s">
        <v>17</v>
      </c>
      <c r="C32" s="41">
        <f>D32/D80</f>
        <v>0.95005755896447397</v>
      </c>
      <c r="D32" s="42">
        <f t="shared" si="0"/>
        <v>23658.333333333332</v>
      </c>
      <c r="E32" s="83">
        <f>SUM(E33:E45)</f>
        <v>283900</v>
      </c>
    </row>
    <row r="33" spans="1:5">
      <c r="A33" s="31" t="s">
        <v>56</v>
      </c>
      <c r="B33" s="43" t="s">
        <v>99</v>
      </c>
      <c r="C33" s="44">
        <f>D33/D80</f>
        <v>4.8188900489920486E-2</v>
      </c>
      <c r="D33" s="45">
        <f t="shared" si="0"/>
        <v>1200</v>
      </c>
      <c r="E33" s="47">
        <v>14400</v>
      </c>
    </row>
    <row r="34" spans="1:5">
      <c r="A34" s="31" t="s">
        <v>57</v>
      </c>
      <c r="B34" s="77" t="s">
        <v>55</v>
      </c>
      <c r="C34" s="44">
        <f>D34/D80</f>
        <v>0.16732257114555726</v>
      </c>
      <c r="D34" s="45">
        <f t="shared" si="0"/>
        <v>4166.666666666667</v>
      </c>
      <c r="E34" s="47">
        <v>50000</v>
      </c>
    </row>
    <row r="35" spans="1:5">
      <c r="A35" s="31" t="s">
        <v>58</v>
      </c>
      <c r="B35" s="78" t="s">
        <v>18</v>
      </c>
      <c r="C35" s="44">
        <f>D35/D80</f>
        <v>0.10039354268733434</v>
      </c>
      <c r="D35" s="45">
        <f t="shared" si="0"/>
        <v>2500</v>
      </c>
      <c r="E35" s="47">
        <v>30000</v>
      </c>
    </row>
    <row r="36" spans="1:5">
      <c r="A36" s="31" t="s">
        <v>73</v>
      </c>
      <c r="B36" s="43" t="s">
        <v>19</v>
      </c>
      <c r="C36" s="44">
        <f>D36/D80</f>
        <v>0.10039354268733434</v>
      </c>
      <c r="D36" s="45">
        <f t="shared" si="0"/>
        <v>2500</v>
      </c>
      <c r="E36" s="47">
        <v>30000</v>
      </c>
    </row>
    <row r="37" spans="1:5">
      <c r="A37" s="31" t="s">
        <v>75</v>
      </c>
      <c r="B37" s="43" t="s">
        <v>20</v>
      </c>
      <c r="C37" s="44">
        <f>D37/D80</f>
        <v>2.007870853746687E-2</v>
      </c>
      <c r="D37" s="45">
        <f t="shared" si="0"/>
        <v>500</v>
      </c>
      <c r="E37" s="47">
        <v>6000</v>
      </c>
    </row>
    <row r="38" spans="1:5">
      <c r="A38" s="31" t="s">
        <v>79</v>
      </c>
      <c r="B38" s="43" t="s">
        <v>100</v>
      </c>
      <c r="C38" s="44">
        <f>D38/D83</f>
        <v>22.727269961610727</v>
      </c>
      <c r="D38" s="45">
        <f t="shared" si="0"/>
        <v>250</v>
      </c>
      <c r="E38" s="47">
        <v>3000</v>
      </c>
    </row>
    <row r="39" spans="1:5">
      <c r="A39" s="31" t="s">
        <v>82</v>
      </c>
      <c r="B39" s="43" t="s">
        <v>101</v>
      </c>
      <c r="C39" s="44">
        <f>D39/D83</f>
        <v>22.727269961610727</v>
      </c>
      <c r="D39" s="45">
        <f t="shared" si="0"/>
        <v>250</v>
      </c>
      <c r="E39" s="47">
        <v>3000</v>
      </c>
    </row>
    <row r="40" spans="1:5">
      <c r="A40" s="31" t="s">
        <v>103</v>
      </c>
      <c r="B40" s="43" t="s">
        <v>21</v>
      </c>
      <c r="C40" s="44">
        <f>D40/D80</f>
        <v>4.0157417074933741E-2</v>
      </c>
      <c r="D40" s="45">
        <f t="shared" si="0"/>
        <v>1000</v>
      </c>
      <c r="E40" s="47">
        <v>12000</v>
      </c>
    </row>
    <row r="41" spans="1:5">
      <c r="A41" s="31" t="s">
        <v>138</v>
      </c>
      <c r="B41" s="43" t="s">
        <v>22</v>
      </c>
      <c r="C41" s="44">
        <f>D41/D80</f>
        <v>2.6771611383289158E-2</v>
      </c>
      <c r="D41" s="45">
        <f t="shared" si="0"/>
        <v>666.66666666666663</v>
      </c>
      <c r="E41" s="47">
        <v>8000</v>
      </c>
    </row>
    <row r="42" spans="1:5">
      <c r="A42" s="31" t="s">
        <v>139</v>
      </c>
      <c r="B42" s="43" t="s">
        <v>81</v>
      </c>
      <c r="C42" s="44">
        <f>D42/D80</f>
        <v>0.12047225122480122</v>
      </c>
      <c r="D42" s="45">
        <f t="shared" si="0"/>
        <v>3000</v>
      </c>
      <c r="E42" s="47">
        <v>36000</v>
      </c>
    </row>
    <row r="43" spans="1:5">
      <c r="A43" s="31" t="s">
        <v>140</v>
      </c>
      <c r="B43" s="68" t="s">
        <v>78</v>
      </c>
      <c r="C43" s="44">
        <f>D43/D80</f>
        <v>0.12716515407062351</v>
      </c>
      <c r="D43" s="45">
        <f t="shared" si="0"/>
        <v>3166.6666666666665</v>
      </c>
      <c r="E43" s="47">
        <v>38000</v>
      </c>
    </row>
    <row r="44" spans="1:5">
      <c r="A44" s="31" t="s">
        <v>141</v>
      </c>
      <c r="B44" s="43" t="s">
        <v>23</v>
      </c>
      <c r="C44" s="44">
        <f>D44/D80</f>
        <v>9.5373865552967632E-2</v>
      </c>
      <c r="D44" s="45">
        <f t="shared" si="0"/>
        <v>2375</v>
      </c>
      <c r="E44" s="47">
        <v>28500</v>
      </c>
    </row>
    <row r="45" spans="1:5" ht="13.5" thickBot="1">
      <c r="A45" s="31" t="s">
        <v>142</v>
      </c>
      <c r="B45" s="55" t="s">
        <v>90</v>
      </c>
      <c r="C45" s="140">
        <f>D45/D80</f>
        <v>8.3661285572778632E-2</v>
      </c>
      <c r="D45" s="45">
        <f t="shared" si="0"/>
        <v>2083.3333333333335</v>
      </c>
      <c r="E45" s="47">
        <v>25000</v>
      </c>
    </row>
    <row r="46" spans="1:5">
      <c r="A46" s="27" t="s">
        <v>112</v>
      </c>
      <c r="B46" s="7" t="s">
        <v>102</v>
      </c>
      <c r="C46" s="37">
        <f>D46/D80</f>
        <v>1.5494070088078602</v>
      </c>
      <c r="D46" s="17">
        <f t="shared" si="0"/>
        <v>38583.333333333336</v>
      </c>
      <c r="E46" s="65">
        <f>SUM(E47:E54)</f>
        <v>463000</v>
      </c>
    </row>
    <row r="47" spans="1:5">
      <c r="A47" s="31" t="s">
        <v>59</v>
      </c>
      <c r="B47" s="43" t="s">
        <v>80</v>
      </c>
      <c r="C47" s="44">
        <f>D47/D80</f>
        <v>6.6929028458222906E-2</v>
      </c>
      <c r="D47" s="45">
        <f t="shared" si="0"/>
        <v>1666.6666666666667</v>
      </c>
      <c r="E47" s="47">
        <v>20000</v>
      </c>
    </row>
    <row r="48" spans="1:5">
      <c r="A48" s="31" t="s">
        <v>60</v>
      </c>
      <c r="B48" s="43" t="s">
        <v>87</v>
      </c>
      <c r="C48" s="44">
        <f>D48/D80</f>
        <v>0.20078708537466869</v>
      </c>
      <c r="D48" s="45">
        <f t="shared" si="0"/>
        <v>5000</v>
      </c>
      <c r="E48" s="47">
        <v>60000</v>
      </c>
    </row>
    <row r="49" spans="1:5">
      <c r="A49" s="31" t="s">
        <v>61</v>
      </c>
      <c r="B49" s="43" t="s">
        <v>77</v>
      </c>
      <c r="C49" s="44">
        <f>D49/D80</f>
        <v>0</v>
      </c>
      <c r="D49" s="45">
        <f t="shared" si="0"/>
        <v>0</v>
      </c>
      <c r="E49" s="47">
        <v>0</v>
      </c>
    </row>
    <row r="50" spans="1:5">
      <c r="A50" s="31" t="s">
        <v>62</v>
      </c>
      <c r="B50" s="43" t="s">
        <v>25</v>
      </c>
      <c r="C50" s="44">
        <f>D50/D80</f>
        <v>8.3661285572778632E-2</v>
      </c>
      <c r="D50" s="45">
        <f t="shared" si="0"/>
        <v>2083.3333333333335</v>
      </c>
      <c r="E50" s="47">
        <v>25000</v>
      </c>
    </row>
    <row r="51" spans="1:5">
      <c r="A51" s="31" t="s">
        <v>63</v>
      </c>
      <c r="B51" s="68" t="s">
        <v>76</v>
      </c>
      <c r="C51" s="44">
        <f>D51/D80</f>
        <v>1.6732257114555726E-2</v>
      </c>
      <c r="D51" s="45">
        <f t="shared" si="0"/>
        <v>416.66666666666669</v>
      </c>
      <c r="E51" s="47">
        <v>5000</v>
      </c>
    </row>
    <row r="52" spans="1:5">
      <c r="A52" s="31" t="s">
        <v>64</v>
      </c>
      <c r="B52" s="43" t="s">
        <v>130</v>
      </c>
      <c r="C52" s="44">
        <f>D52/D80</f>
        <v>0.28444837094744729</v>
      </c>
      <c r="D52" s="45">
        <f>E52/12</f>
        <v>7083.333333333333</v>
      </c>
      <c r="E52" s="47">
        <v>85000</v>
      </c>
    </row>
    <row r="53" spans="1:5">
      <c r="A53" s="31" t="s">
        <v>65</v>
      </c>
      <c r="B53" s="43" t="s">
        <v>85</v>
      </c>
      <c r="C53" s="44">
        <f>D53/D80</f>
        <v>2.6771611383289158E-2</v>
      </c>
      <c r="D53" s="45">
        <f>E53/12</f>
        <v>666.66666666666663</v>
      </c>
      <c r="E53" s="47">
        <v>8000</v>
      </c>
    </row>
    <row r="54" spans="1:5" ht="13.5" thickBot="1">
      <c r="A54" s="31" t="s">
        <v>66</v>
      </c>
      <c r="B54" s="43" t="s">
        <v>121</v>
      </c>
      <c r="C54" s="44">
        <f>D54/D80</f>
        <v>0.87007736995689777</v>
      </c>
      <c r="D54" s="45">
        <f>E54/12</f>
        <v>21666.666666666668</v>
      </c>
      <c r="E54" s="47">
        <v>260000</v>
      </c>
    </row>
    <row r="55" spans="1:5">
      <c r="A55" s="27" t="s">
        <v>113</v>
      </c>
      <c r="B55" s="7" t="s">
        <v>127</v>
      </c>
      <c r="C55" s="37">
        <f>D55/D80</f>
        <v>4.6150208818568785</v>
      </c>
      <c r="D55" s="17">
        <f t="shared" si="0"/>
        <v>114923.25</v>
      </c>
      <c r="E55" s="65">
        <f>SUM(E56:E72)</f>
        <v>1379079</v>
      </c>
    </row>
    <row r="56" spans="1:5">
      <c r="A56" s="31" t="s">
        <v>143</v>
      </c>
      <c r="B56" s="43" t="s">
        <v>95</v>
      </c>
      <c r="C56" s="44">
        <f>D56/D80</f>
        <v>8.3661285572778632E-2</v>
      </c>
      <c r="D56" s="45">
        <f t="shared" si="0"/>
        <v>2083.3333333333335</v>
      </c>
      <c r="E56" s="47">
        <v>25000</v>
      </c>
    </row>
    <row r="57" spans="1:5">
      <c r="A57" s="31" t="s">
        <v>144</v>
      </c>
      <c r="B57" s="68" t="s">
        <v>91</v>
      </c>
      <c r="C57" s="44">
        <f>D57/D80</f>
        <v>0.26771611383289162</v>
      </c>
      <c r="D57" s="45">
        <f t="shared" si="0"/>
        <v>6666.666666666667</v>
      </c>
      <c r="E57" s="47">
        <v>80000</v>
      </c>
    </row>
    <row r="58" spans="1:5">
      <c r="A58" s="31" t="s">
        <v>145</v>
      </c>
      <c r="B58" s="43" t="s">
        <v>122</v>
      </c>
      <c r="C58" s="44">
        <f>D58/D80</f>
        <v>0.10039354268733434</v>
      </c>
      <c r="D58" s="45">
        <f t="shared" si="0"/>
        <v>2500</v>
      </c>
      <c r="E58" s="47">
        <v>30000</v>
      </c>
    </row>
    <row r="59" spans="1:5">
      <c r="A59" s="31" t="s">
        <v>146</v>
      </c>
      <c r="B59" s="43" t="s">
        <v>125</v>
      </c>
      <c r="C59" s="44">
        <f>D59/D80</f>
        <v>6.0236125612400611E-2</v>
      </c>
      <c r="D59" s="45">
        <f t="shared" si="0"/>
        <v>1500</v>
      </c>
      <c r="E59" s="47">
        <v>18000</v>
      </c>
    </row>
    <row r="60" spans="1:5">
      <c r="A60" s="31" t="s">
        <v>147</v>
      </c>
      <c r="B60" s="68" t="s">
        <v>123</v>
      </c>
      <c r="C60" s="44">
        <f>D60/D80</f>
        <v>0.53543222766578324</v>
      </c>
      <c r="D60" s="45">
        <f t="shared" si="0"/>
        <v>13333.333333333334</v>
      </c>
      <c r="E60" s="47">
        <v>160000</v>
      </c>
    </row>
    <row r="61" spans="1:5">
      <c r="A61" s="31" t="s">
        <v>148</v>
      </c>
      <c r="B61" s="68" t="s">
        <v>160</v>
      </c>
      <c r="C61" s="44">
        <f>D61/D80</f>
        <v>0.33464514229111453</v>
      </c>
      <c r="D61" s="45">
        <f t="shared" si="0"/>
        <v>8333.3333333333339</v>
      </c>
      <c r="E61" s="47">
        <v>100000</v>
      </c>
    </row>
    <row r="62" spans="1:5">
      <c r="A62" s="31" t="s">
        <v>149</v>
      </c>
      <c r="B62" s="43" t="s">
        <v>74</v>
      </c>
      <c r="C62" s="44">
        <f>D62/D80</f>
        <v>1.3385805691644579E-2</v>
      </c>
      <c r="D62" s="45">
        <f t="shared" si="0"/>
        <v>333.33333333333331</v>
      </c>
      <c r="E62" s="47">
        <v>4000</v>
      </c>
    </row>
    <row r="63" spans="1:5">
      <c r="A63" s="31" t="s">
        <v>150</v>
      </c>
      <c r="B63" s="68" t="s">
        <v>98</v>
      </c>
      <c r="C63" s="44">
        <f>D63/D80</f>
        <v>2.8110191952453619E-2</v>
      </c>
      <c r="D63" s="45">
        <f t="shared" si="0"/>
        <v>700</v>
      </c>
      <c r="E63" s="47">
        <v>8400</v>
      </c>
    </row>
    <row r="64" spans="1:5">
      <c r="A64" s="31" t="s">
        <v>151</v>
      </c>
      <c r="B64" s="43" t="s">
        <v>97</v>
      </c>
      <c r="C64" s="44">
        <f>D64/D80</f>
        <v>0.10708644553315663</v>
      </c>
      <c r="D64" s="45">
        <f t="shared" si="0"/>
        <v>2666.6666666666665</v>
      </c>
      <c r="E64" s="47">
        <v>32000</v>
      </c>
    </row>
    <row r="65" spans="1:5">
      <c r="A65" s="31" t="s">
        <v>152</v>
      </c>
      <c r="B65" s="43" t="s">
        <v>83</v>
      </c>
      <c r="C65" s="44">
        <f>D65/D80</f>
        <v>2.6771611383289158E-2</v>
      </c>
      <c r="D65" s="45">
        <f t="shared" si="0"/>
        <v>666.66666666666663</v>
      </c>
      <c r="E65" s="47">
        <v>8000</v>
      </c>
    </row>
    <row r="66" spans="1:5">
      <c r="A66" s="31" t="s">
        <v>153</v>
      </c>
      <c r="B66" s="48" t="s">
        <v>126</v>
      </c>
      <c r="C66" s="44">
        <f>D66/D80</f>
        <v>8.3661285572778632E-2</v>
      </c>
      <c r="D66" s="49">
        <f t="shared" si="0"/>
        <v>2083.3333333333335</v>
      </c>
      <c r="E66" s="84">
        <v>25000</v>
      </c>
    </row>
    <row r="67" spans="1:5">
      <c r="A67" s="31" t="s">
        <v>154</v>
      </c>
      <c r="B67" s="48" t="s">
        <v>86</v>
      </c>
      <c r="C67" s="44">
        <f>D67/D80</f>
        <v>0.21751934248922444</v>
      </c>
      <c r="D67" s="49">
        <f t="shared" si="0"/>
        <v>5416.666666666667</v>
      </c>
      <c r="E67" s="84">
        <v>65000</v>
      </c>
    </row>
    <row r="68" spans="1:5">
      <c r="A68" s="31" t="s">
        <v>155</v>
      </c>
      <c r="B68" s="77" t="s">
        <v>24</v>
      </c>
      <c r="C68" s="101">
        <f>D68/D80</f>
        <v>2.3425159960378018E-2</v>
      </c>
      <c r="D68" s="102">
        <f t="shared" si="0"/>
        <v>583.33333333333337</v>
      </c>
      <c r="E68" s="103">
        <v>7000</v>
      </c>
    </row>
    <row r="69" spans="1:5">
      <c r="A69" s="31" t="s">
        <v>156</v>
      </c>
      <c r="B69" s="104" t="s">
        <v>124</v>
      </c>
      <c r="C69" s="105">
        <f>D69/D80</f>
        <v>0.93700639841512057</v>
      </c>
      <c r="D69" s="106">
        <f t="shared" si="0"/>
        <v>23333.333333333332</v>
      </c>
      <c r="E69" s="132">
        <v>280000</v>
      </c>
    </row>
    <row r="70" spans="1:5">
      <c r="A70" s="31" t="s">
        <v>157</v>
      </c>
      <c r="B70" s="104" t="s">
        <v>129</v>
      </c>
      <c r="C70" s="105">
        <f>D70/D80</f>
        <v>1.6397611972264612</v>
      </c>
      <c r="D70" s="106">
        <f t="shared" ref="D70:D78" si="1">E70/12</f>
        <v>40833.333333333336</v>
      </c>
      <c r="E70" s="132">
        <v>490000</v>
      </c>
    </row>
    <row r="71" spans="1:5">
      <c r="A71" s="31" t="s">
        <v>158</v>
      </c>
      <c r="B71" s="134" t="s">
        <v>128</v>
      </c>
      <c r="C71" s="139">
        <f>D71/D80</f>
        <v>0.13613029743260247</v>
      </c>
      <c r="D71" s="135">
        <f t="shared" si="1"/>
        <v>3389.9166666666665</v>
      </c>
      <c r="E71" s="132">
        <v>40679</v>
      </c>
    </row>
    <row r="72" spans="1:5" ht="13.5" thickBot="1">
      <c r="A72" s="31" t="s">
        <v>159</v>
      </c>
      <c r="B72" s="68" t="s">
        <v>104</v>
      </c>
      <c r="C72" s="99">
        <f>D72/D80</f>
        <v>2.007870853746687E-2</v>
      </c>
      <c r="D72" s="100">
        <f t="shared" si="1"/>
        <v>500</v>
      </c>
      <c r="E72" s="136">
        <v>6000</v>
      </c>
    </row>
    <row r="73" spans="1:5" ht="13.5" thickBot="1">
      <c r="A73" s="26">
        <v>13</v>
      </c>
      <c r="B73" s="5" t="s">
        <v>92</v>
      </c>
      <c r="C73" s="40">
        <f>D73/D80</f>
        <v>0</v>
      </c>
      <c r="D73" s="16">
        <f t="shared" si="1"/>
        <v>0</v>
      </c>
      <c r="E73" s="64">
        <v>0</v>
      </c>
    </row>
    <row r="74" spans="1:5" ht="13.5" thickBot="1">
      <c r="A74" s="26">
        <v>14</v>
      </c>
      <c r="B74" s="6" t="s">
        <v>26</v>
      </c>
      <c r="C74" s="36">
        <f>D74/D80</f>
        <v>3.3464514229111453E-2</v>
      </c>
      <c r="D74" s="16">
        <f t="shared" si="1"/>
        <v>833.33333333333337</v>
      </c>
      <c r="E74" s="64">
        <v>10000</v>
      </c>
    </row>
    <row r="75" spans="1:5" ht="13.5" thickBot="1">
      <c r="A75" s="58">
        <v>15</v>
      </c>
      <c r="B75" s="59" t="s">
        <v>119</v>
      </c>
      <c r="C75" s="85">
        <f>D75/D80</f>
        <v>1.350293149144647</v>
      </c>
      <c r="D75" s="57">
        <f t="shared" si="1"/>
        <v>33625</v>
      </c>
      <c r="E75" s="60">
        <v>403500</v>
      </c>
    </row>
    <row r="76" spans="1:5" ht="13.5" thickBot="1">
      <c r="A76" s="141">
        <v>16</v>
      </c>
      <c r="B76" s="142" t="s">
        <v>120</v>
      </c>
      <c r="C76" s="143">
        <f>D76/D80</f>
        <v>8.1017588948678818E-2</v>
      </c>
      <c r="D76" s="144">
        <f t="shared" si="1"/>
        <v>2017.5</v>
      </c>
      <c r="E76" s="145">
        <v>24210</v>
      </c>
    </row>
    <row r="77" spans="1:5" ht="13.5" thickBot="1">
      <c r="A77" s="58">
        <v>17</v>
      </c>
      <c r="B77" s="59" t="s">
        <v>114</v>
      </c>
      <c r="C77" s="56">
        <f>D77/D80</f>
        <v>2.1588426632399003</v>
      </c>
      <c r="D77" s="57">
        <f t="shared" si="1"/>
        <v>53759.5</v>
      </c>
      <c r="E77" s="60">
        <v>645114</v>
      </c>
    </row>
    <row r="78" spans="1:5" ht="13.5" thickBot="1">
      <c r="A78" s="269" t="s">
        <v>27</v>
      </c>
      <c r="B78" s="270"/>
      <c r="C78" s="61">
        <f>D78/D80</f>
        <v>11.000001338580571</v>
      </c>
      <c r="D78" s="62">
        <f t="shared" si="1"/>
        <v>273922.03333333338</v>
      </c>
      <c r="E78" s="63">
        <f>E6+E7+E8+E9+E10+E13+E18+E19+E26+E32+E46+E55+E73+E74-E75+E76-E77</f>
        <v>3287064.4000000004</v>
      </c>
    </row>
    <row r="79" spans="1:5">
      <c r="A79" s="11"/>
      <c r="B79" s="11"/>
      <c r="C79" s="11"/>
      <c r="D79" s="11"/>
      <c r="E79" s="11"/>
    </row>
    <row r="80" spans="1:5">
      <c r="A80" s="118" t="s">
        <v>28</v>
      </c>
      <c r="B80" s="118"/>
      <c r="C80" s="34"/>
      <c r="D80" s="1">
        <v>24902</v>
      </c>
      <c r="E80" s="2" t="s">
        <v>29</v>
      </c>
    </row>
    <row r="81" spans="1:5">
      <c r="A81" s="11"/>
      <c r="B81" s="11"/>
      <c r="C81" s="11"/>
      <c r="D81" s="11"/>
      <c r="E81" s="11"/>
    </row>
    <row r="82" spans="1:5">
      <c r="A82" s="264" t="s">
        <v>115</v>
      </c>
      <c r="B82" s="264"/>
      <c r="C82" s="33"/>
    </row>
    <row r="83" spans="1:5">
      <c r="A83" s="264" t="s">
        <v>30</v>
      </c>
      <c r="B83" s="264"/>
      <c r="C83" s="33"/>
      <c r="D83" s="35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</vt:lpstr>
      <vt:lpstr>Лист1</vt:lpstr>
      <vt:lpstr>Смета!OLE_LINK3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2018-02-07T09:53:38Z</cp:lastPrinted>
  <dcterms:created xsi:type="dcterms:W3CDTF">2010-12-02T20:37:32Z</dcterms:created>
  <dcterms:modified xsi:type="dcterms:W3CDTF">2018-02-07T10:09:40Z</dcterms:modified>
</cp:coreProperties>
</file>